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1.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45" yWindow="65446" windowWidth="18795" windowHeight="11760" tabRatio="881" firstSheet="5" activeTab="5"/>
  </bookViews>
  <sheets>
    <sheet name="Recycle pits" sheetId="1" r:id="rId1"/>
    <sheet name="Summary sheet" sheetId="2" r:id="rId2"/>
    <sheet name="Water management" sheetId="3" r:id="rId3"/>
    <sheet name="Pesticide management" sheetId="4" r:id="rId4"/>
    <sheet name="Grazing metric" sheetId="5" r:id="rId5"/>
    <sheet name="Data entry" sheetId="6" r:id="rId6"/>
    <sheet name="Nutrient management" sheetId="7" r:id="rId7"/>
    <sheet name="current bses" sheetId="8" r:id="rId8"/>
    <sheet name="future bses" sheetId="9" r:id="rId9"/>
    <sheet name="N movement slave" sheetId="10" r:id="rId10"/>
    <sheet name="Verification score" sheetId="11" r:id="rId11"/>
    <sheet name="thorburn clases" sheetId="12" r:id="rId12"/>
    <sheet name="fert +pest rates" sheetId="13" r:id="rId13"/>
    <sheet name="old BSES" sheetId="14" r:id="rId14"/>
    <sheet name="Grazing projects" sheetId="15" r:id="rId15"/>
    <sheet name="grazing scores" sheetId="16" r:id="rId16"/>
    <sheet name="Grazing references" sheetId="17" r:id="rId17"/>
    <sheet name="Cane references" sheetId="18" r:id="rId18"/>
    <sheet name="Sheet1" sheetId="19" r:id="rId19"/>
  </sheets>
  <externalReferences>
    <externalReference r:id="rId22"/>
    <externalReference r:id="rId23"/>
    <externalReference r:id="rId24"/>
  </externalReferences>
  <definedNames>
    <definedName name="_xlnm._FilterDatabase" localSheetId="5" hidden="1">'Data entry'!$A$3:$K$87</definedName>
    <definedName name="OLE_LINK3" localSheetId="17">'Cane references'!$A$15</definedName>
  </definedNames>
  <calcPr fullCalcOnLoad="1"/>
</workbook>
</file>

<file path=xl/comments1.xml><?xml version="1.0" encoding="utf-8"?>
<comments xmlns="http://schemas.openxmlformats.org/spreadsheetml/2006/main">
  <authors>
    <author>John Rolfe</author>
  </authors>
  <commentList>
    <comment ref="AM10" authorId="0">
      <text>
        <r>
          <rPr>
            <b/>
            <sz val="8"/>
            <rFont val="Tahoma"/>
            <family val="2"/>
          </rPr>
          <t>John Rolfe:</t>
        </r>
        <r>
          <rPr>
            <sz val="8"/>
            <rFont val="Tahoma"/>
            <family val="2"/>
          </rPr>
          <t xml:space="preserve">
Mean of other recycle pit sizes excluding extreme values
</t>
        </r>
      </text>
    </comment>
    <comment ref="AP9" authorId="0">
      <text>
        <r>
          <rPr>
            <b/>
            <sz val="8"/>
            <rFont val="Tahoma"/>
            <family val="2"/>
          </rPr>
          <t>John Rolfe:</t>
        </r>
        <r>
          <rPr>
            <sz val="8"/>
            <rFont val="Tahoma"/>
            <family val="2"/>
          </rPr>
          <t xml:space="preserve">
Allows for upper level of 90% efficiency for pits with x5 capacity, and lower levels to be scaled to 2 times to account for pumping</t>
        </r>
      </text>
    </comment>
  </commentList>
</comments>
</file>

<file path=xl/comments13.xml><?xml version="1.0" encoding="utf-8"?>
<comments xmlns="http://schemas.openxmlformats.org/spreadsheetml/2006/main">
  <authors>
    <author>Romy</author>
  </authors>
  <commentList>
    <comment ref="A28" authorId="0">
      <text>
        <r>
          <rPr>
            <b/>
            <sz val="8"/>
            <rFont val="Tahoma"/>
            <family val="2"/>
          </rPr>
          <t>Romy:</t>
        </r>
        <r>
          <rPr>
            <sz val="8"/>
            <rFont val="Tahoma"/>
            <family val="2"/>
          </rPr>
          <t xml:space="preserve">
this bidder has stated that "</t>
        </r>
        <r>
          <rPr>
            <sz val="8"/>
            <color indexed="10"/>
            <rFont val="Tahoma"/>
            <family val="2"/>
          </rPr>
          <t>2bags/acre leichardtS + 450 leichardt S</t>
        </r>
        <r>
          <rPr>
            <sz val="8"/>
            <rFont val="Tahoma"/>
            <family val="2"/>
          </rPr>
          <t>" applied on plant and "</t>
        </r>
        <r>
          <rPr>
            <sz val="8"/>
            <color indexed="10"/>
            <rFont val="Tahoma"/>
            <family val="2"/>
          </rPr>
          <t>625kg/ha leichardt S</t>
        </r>
        <r>
          <rPr>
            <sz val="8"/>
            <rFont val="Tahoma"/>
            <family val="2"/>
          </rPr>
          <t>" for rattoon.  Assuming 450 refers to kgs per ha.</t>
        </r>
      </text>
    </comment>
  </commentList>
</comments>
</file>

<file path=xl/comments14.xml><?xml version="1.0" encoding="utf-8"?>
<comments xmlns="http://schemas.openxmlformats.org/spreadsheetml/2006/main">
  <authors>
    <author>Administrator</author>
    <author>Romy</author>
  </authors>
  <commentList>
    <comment ref="U1" authorId="0">
      <text>
        <r>
          <rPr>
            <b/>
            <sz val="8"/>
            <color indexed="8"/>
            <rFont val="Tahoma"/>
            <family val="2"/>
          </rPr>
          <t>Administrator:</t>
        </r>
        <r>
          <rPr>
            <sz val="8"/>
            <color indexed="8"/>
            <rFont val="Tahoma"/>
            <family val="2"/>
          </rPr>
          <t xml:space="preserve">
grower has also applied for enviroscans for all these farms EOI 33(d)
</t>
        </r>
      </text>
    </comment>
    <comment ref="AG1" authorId="0">
      <text>
        <r>
          <rPr>
            <b/>
            <sz val="8"/>
            <color indexed="8"/>
            <rFont val="Tahoma"/>
            <family val="2"/>
          </rPr>
          <t>Administrator:</t>
        </r>
        <r>
          <rPr>
            <sz val="8"/>
            <color indexed="8"/>
            <rFont val="Tahoma"/>
            <family val="2"/>
          </rPr>
          <t xml:space="preserve">
This doesn’t look right. 
EOI 50 is John Patane asking for a 
12ML recycle pit</t>
        </r>
      </text>
    </comment>
    <comment ref="BM15" authorId="1">
      <text>
        <r>
          <rPr>
            <b/>
            <sz val="8"/>
            <color indexed="8"/>
            <rFont val="Tahoma"/>
            <family val="2"/>
          </rPr>
          <t>Romy:</t>
        </r>
        <r>
          <rPr>
            <sz val="8"/>
            <color indexed="8"/>
            <rFont val="Tahoma"/>
            <family val="2"/>
          </rPr>
          <t xml:space="preserve">
the notes say "*2 capacity" what does this mean?
</t>
        </r>
      </text>
    </comment>
    <comment ref="Z23" authorId="0">
      <text>
        <r>
          <rPr>
            <b/>
            <sz val="8"/>
            <color indexed="8"/>
            <rFont val="Tahoma"/>
            <family val="2"/>
          </rPr>
          <t>Administrator:</t>
        </r>
        <r>
          <rPr>
            <sz val="8"/>
            <color indexed="8"/>
            <rFont val="Tahoma"/>
            <family val="2"/>
          </rPr>
          <t xml:space="preserve">
Administrator:
need to get in contact with grower</t>
        </r>
      </text>
    </comment>
    <comment ref="AQ23" authorId="0">
      <text>
        <r>
          <rPr>
            <b/>
            <sz val="8"/>
            <color indexed="8"/>
            <rFont val="Tahoma"/>
            <family val="2"/>
          </rPr>
          <t>Administrator:</t>
        </r>
        <r>
          <rPr>
            <sz val="8"/>
            <color indexed="8"/>
            <rFont val="Tahoma"/>
            <family val="2"/>
          </rPr>
          <t xml:space="preserve">
Need to clarify with grower</t>
        </r>
      </text>
    </comment>
    <comment ref="BF23" authorId="0">
      <text>
        <r>
          <rPr>
            <b/>
            <sz val="8"/>
            <color indexed="8"/>
            <rFont val="Tahoma"/>
            <family val="2"/>
          </rPr>
          <t>Administrator:</t>
        </r>
        <r>
          <rPr>
            <sz val="8"/>
            <color indexed="8"/>
            <rFont val="Tahoma"/>
            <family val="2"/>
          </rPr>
          <t xml:space="preserve">
2 bags/ac terraphoska, 2.5 bags sulphate of amonia
</t>
        </r>
      </text>
    </comment>
    <comment ref="AP28" authorId="0">
      <text>
        <r>
          <rPr>
            <b/>
            <sz val="8"/>
            <color indexed="8"/>
            <rFont val="Tahoma"/>
            <family val="2"/>
          </rPr>
          <t>Administrator:</t>
        </r>
        <r>
          <rPr>
            <sz val="8"/>
            <color indexed="8"/>
            <rFont val="Tahoma"/>
            <family val="2"/>
          </rPr>
          <t xml:space="preserve">
looks like a split ratoon application. 750kg/ha then 650kg/ha later
</t>
        </r>
      </text>
    </comment>
  </commentList>
</comments>
</file>

<file path=xl/comments4.xml><?xml version="1.0" encoding="utf-8"?>
<comments xmlns="http://schemas.openxmlformats.org/spreadsheetml/2006/main">
  <authors>
    <author>John Rolfe</author>
  </authors>
  <commentList>
    <comment ref="AC9" authorId="0">
      <text>
        <r>
          <rPr>
            <b/>
            <sz val="8"/>
            <rFont val="Tahoma"/>
            <family val="2"/>
          </rPr>
          <t>John Rolfe:</t>
        </r>
        <r>
          <rPr>
            <sz val="8"/>
            <rFont val="Tahoma"/>
            <family val="2"/>
          </rPr>
          <t xml:space="preserve">
230kg of export / 43599 kg of application
</t>
        </r>
      </text>
    </comment>
    <comment ref="AD9" authorId="0">
      <text>
        <r>
          <rPr>
            <b/>
            <sz val="8"/>
            <rFont val="Tahoma"/>
            <family val="2"/>
          </rPr>
          <t>John Rolfe:</t>
        </r>
        <r>
          <rPr>
            <sz val="8"/>
            <rFont val="Tahoma"/>
            <family val="2"/>
          </rPr>
          <t xml:space="preserve">
155kg of export / 7395 kg of application
</t>
        </r>
      </text>
    </comment>
    <comment ref="AE9" authorId="0">
      <text>
        <r>
          <rPr>
            <b/>
            <sz val="8"/>
            <rFont val="Tahoma"/>
            <family val="2"/>
          </rPr>
          <t>John Rolfe:</t>
        </r>
        <r>
          <rPr>
            <sz val="8"/>
            <rFont val="Tahoma"/>
            <family val="2"/>
          </rPr>
          <t xml:space="preserve">
50kg of export / 12352kg of application
</t>
        </r>
      </text>
    </comment>
    <comment ref="BE9" authorId="0">
      <text>
        <r>
          <rPr>
            <b/>
            <sz val="8"/>
            <rFont val="Tahoma"/>
            <family val="2"/>
          </rPr>
          <t>John Rolfe:</t>
        </r>
        <r>
          <rPr>
            <sz val="8"/>
            <rFont val="Tahoma"/>
            <family val="2"/>
          </rPr>
          <t xml:space="preserve">
230kg of export / 43599 kg of application
</t>
        </r>
      </text>
    </comment>
    <comment ref="BF9" authorId="0">
      <text>
        <r>
          <rPr>
            <b/>
            <sz val="8"/>
            <rFont val="Tahoma"/>
            <family val="2"/>
          </rPr>
          <t>John Rolfe:</t>
        </r>
        <r>
          <rPr>
            <sz val="8"/>
            <rFont val="Tahoma"/>
            <family val="2"/>
          </rPr>
          <t xml:space="preserve">
155kg of export / 7395 kg of application
</t>
        </r>
      </text>
    </comment>
    <comment ref="BG9" authorId="0">
      <text>
        <r>
          <rPr>
            <b/>
            <sz val="8"/>
            <rFont val="Tahoma"/>
            <family val="2"/>
          </rPr>
          <t>John Rolfe:</t>
        </r>
        <r>
          <rPr>
            <sz val="8"/>
            <rFont val="Tahoma"/>
            <family val="2"/>
          </rPr>
          <t xml:space="preserve">
50kg of export / 12352kg of application
</t>
        </r>
      </text>
    </comment>
  </commentList>
</comments>
</file>

<file path=xl/comments6.xml><?xml version="1.0" encoding="utf-8"?>
<comments xmlns="http://schemas.openxmlformats.org/spreadsheetml/2006/main">
  <authors>
    <author>John Rolfe</author>
  </authors>
  <commentList>
    <comment ref="BM2" authorId="0">
      <text>
        <r>
          <rPr>
            <b/>
            <sz val="8"/>
            <rFont val="Tahoma"/>
            <family val="2"/>
          </rPr>
          <t>John Rolfe:</t>
        </r>
        <r>
          <rPr>
            <sz val="8"/>
            <rFont val="Tahoma"/>
            <family val="2"/>
          </rPr>
          <t xml:space="preserve">
Mean of other recycle pit sizes excluding extreme values
</t>
        </r>
      </text>
    </comment>
  </commentList>
</comments>
</file>

<file path=xl/comments7.xml><?xml version="1.0" encoding="utf-8"?>
<comments xmlns="http://schemas.openxmlformats.org/spreadsheetml/2006/main">
  <authors>
    <author>Romy</author>
  </authors>
  <commentList>
    <comment ref="S31" authorId="0">
      <text>
        <r>
          <rPr>
            <b/>
            <sz val="8"/>
            <rFont val="Tahoma"/>
            <family val="2"/>
          </rPr>
          <t>Romy:</t>
        </r>
        <r>
          <rPr>
            <sz val="8"/>
            <rFont val="Tahoma"/>
            <family val="2"/>
          </rPr>
          <t xml:space="preserve">
have assumed the same as the first</t>
        </r>
      </text>
    </comment>
  </commentList>
</comments>
</file>

<file path=xl/comments8.xml><?xml version="1.0" encoding="utf-8"?>
<comments xmlns="http://schemas.openxmlformats.org/spreadsheetml/2006/main">
  <authors>
    <author>windlej</author>
  </authors>
  <commentList>
    <comment ref="O83" authorId="0">
      <text>
        <r>
          <rPr>
            <b/>
            <sz val="8"/>
            <rFont val="Tahoma"/>
            <family val="2"/>
          </rPr>
          <t>windlej:</t>
        </r>
        <r>
          <rPr>
            <sz val="8"/>
            <rFont val="Tahoma"/>
            <family val="2"/>
          </rPr>
          <t xml:space="preserve">
I have  maximised these to 10
</t>
        </r>
      </text>
    </comment>
  </commentList>
</comments>
</file>

<file path=xl/sharedStrings.xml><?xml version="1.0" encoding="utf-8"?>
<sst xmlns="http://schemas.openxmlformats.org/spreadsheetml/2006/main" count="3574" uniqueCount="1121">
  <si>
    <t xml:space="preserve">The reduced compaction of soils from permanent beds or zero tillage is likely to reverse the yield decline associated with this compaction (Turner et al., 2004b).  Improvements in infiltration with resultant reduction of runoff may occur with this system which may in turn reduce pesticide and fertiliser runoff particularly when the fertiliser is placed in the centre of the bed.  Soil biota improved when tillage was reduced particularly after legume crops (Bell et al., 2006).  The use of GPS guidance increases the accuracy of the controlled traffic and so further reduces compaction of paddocks and allows for the development of yield mapping and variable rate fertiliser application within blocks of cane.  </t>
  </si>
  <si>
    <r>
      <t>Leached nitrogen is released slowly to ground water</t>
    </r>
    <r>
      <rPr>
        <sz val="12"/>
        <color indexed="10"/>
        <rFont val="Times New Roman"/>
        <family val="1"/>
      </rPr>
      <t xml:space="preserve"> </t>
    </r>
    <r>
      <rPr>
        <sz val="12"/>
        <rFont val="Times New Roman"/>
        <family val="1"/>
      </rPr>
      <t xml:space="preserve">over a period of about ten years (Donn et al., 2002) and from there the nitrogen can eventually be released into waterways.  </t>
    </r>
    <r>
      <rPr>
        <sz val="12"/>
        <rFont val="Times New Roman"/>
        <family val="1"/>
      </rPr>
      <t>The pattern and timing of rainfall and irrigation and soil type as well as the amount of fertiliser applied can significantly alter the amounts of nitrate leached (Verburg et al., 1998).</t>
    </r>
  </si>
  <si>
    <t xml:space="preserve">Increasing fertiliser rate leads to increasing losses of nitrogen and that these losses can be as high as 70 percent of applied fertiliser (Thorburn, 2004).  Although the bulk of this loss was via leaching, nitrogen in runoff also increased (Prove et al., 1995).  </t>
  </si>
  <si>
    <t xml:space="preserve">Legumes are often used in fallow blocks but the nutritional benefit is not always considered when nitrogenous fertilisers are applied.  Legume fallow crops can provide a significant amount of the nitrogen needed for the following plant cane crop and even for the first ratoon.  Above ground parts of soybean plants can contribute up to 300 kg/ha of nitrogen to the nitrogen stores in the soil (Garside, 2002).  </t>
  </si>
  <si>
    <t xml:space="preserve">There is a further contribution from legume crops from the roots but this amount has not been quantified (Garside, 2002).   Thorburn (2004) estimates that approximately 400kg/ha N can be contributed to soil reserves of nitrogen if both the above and below ground biomass is considered. </t>
  </si>
  <si>
    <t>Fertigation reduced losses of nitrate nitrogen in the Burdekin from 41.5 kg/ha to 8.7 kg/ha (Klok et al., 2004)</t>
  </si>
  <si>
    <t>The application of a precision herbicide strategy where accurate weed identification, appropriate chemical usage and precision spraying equipment enables a variable rate of application within a block which can reduce the total amount of herbicides required.   Rotating pesticides will reduce potential for resistance and hence increased application rates and reduce total environmental loads in the catchment (Rattray et al. 2006b).</t>
  </si>
  <si>
    <t>Knock down chemicals can be used in the interrows which reduces the amount of residual chemical required by 50 percent.  GPS guidance will reduce overlap and allow weed mapping so that heavily infested area can be targeted (Rattray et al., 2006b).</t>
  </si>
  <si>
    <r>
      <t xml:space="preserve">Rattray, D. J., Freebairn, D. M. and Gurner, N. C., 2006b. </t>
    </r>
    <r>
      <rPr>
        <i/>
        <sz val="12"/>
        <rFont val="Times New Roman"/>
        <family val="1"/>
      </rPr>
      <t>Best Management Practices for Residual Herbicides and Water Quality</t>
    </r>
    <r>
      <rPr>
        <sz val="12"/>
        <rFont val="Times New Roman"/>
        <family val="1"/>
      </rPr>
      <t>. Department of Natural Resources, Mines and Energy, Brisbane.</t>
    </r>
  </si>
  <si>
    <r>
      <t xml:space="preserve">Rattray, D. J., Freebairn, D. M. and Gurner, N. C., 2006b. Best Management Practices for Residual Herbicides and Water Quality. Department of Natural Resources, Mines and Energy, Brisbane.                                Klok, J. A. and Ham, G. J., 2004. A Pilot Study into pesticides and the Burdekin Delta aquifer. </t>
    </r>
    <r>
      <rPr>
        <i/>
        <sz val="12"/>
        <rFont val="Times New Roman"/>
        <family val="1"/>
      </rPr>
      <t>Proc. Aust. Soc. Sugar Cane Technol. 26</t>
    </r>
    <r>
      <rPr>
        <sz val="12"/>
        <rFont val="Times New Roman"/>
        <family val="1"/>
      </rPr>
      <t>, CD ROM.</t>
    </r>
  </si>
  <si>
    <r>
      <t xml:space="preserve">Robertson, F., 2003. </t>
    </r>
    <r>
      <rPr>
        <i/>
        <sz val="12"/>
        <rFont val="Times New Roman"/>
        <family val="1"/>
      </rPr>
      <t>Sugarcane Trash Management: Consequences for Soil Carbon and Nitrogen.</t>
    </r>
    <r>
      <rPr>
        <sz val="12"/>
        <rFont val="Times New Roman"/>
        <family val="1"/>
      </rPr>
      <t xml:space="preserve"> CRC for Sustainable Sugar Production, Townsville.</t>
    </r>
  </si>
  <si>
    <t>farm size/ relevant application area in hectares</t>
  </si>
  <si>
    <t>irrigation and pipe work</t>
  </si>
  <si>
    <t>94a</t>
  </si>
  <si>
    <t>irrigation method (5 = furrow; 6 = centre pivot; 7 = trickle)</t>
  </si>
  <si>
    <t>Input to metric</t>
  </si>
  <si>
    <t>Deep drainage</t>
  </si>
  <si>
    <t>N in Deep Drainage</t>
  </si>
  <si>
    <t>Runoff</t>
  </si>
  <si>
    <t>N in runoff</t>
  </si>
  <si>
    <t>Amount of N moving off farm per ha</t>
  </si>
  <si>
    <t>Thorburn rates scaled according to fertilizer application</t>
  </si>
  <si>
    <t>Amount of N moving into surface water / ha</t>
  </si>
  <si>
    <t>N in surface water separated from total N moving off farm</t>
  </si>
  <si>
    <t>Total N in surface water for the farm</t>
  </si>
  <si>
    <t>Option 1: Thorburn rate scaled to fertiliser application</t>
  </si>
  <si>
    <t>Option 2: 50% of excess over Thorburn rate moving off farm</t>
  </si>
  <si>
    <t xml:space="preserve">50% of excess over Thorburn rates moving off farm </t>
  </si>
  <si>
    <t>Total amount of N moving into surface water adjusted for farming practices</t>
  </si>
  <si>
    <t xml:space="preserve">Potential improvement in water/nutrient management </t>
  </si>
  <si>
    <t>Identify proportional reduction in water/N moving off farm</t>
  </si>
  <si>
    <t>Recycle pits</t>
  </si>
  <si>
    <t xml:space="preserve">Number of years of change </t>
  </si>
  <si>
    <t>Proportional reduction</t>
  </si>
  <si>
    <t xml:space="preserve">Bonus for future intentions </t>
  </si>
  <si>
    <t>Total change in emissions</t>
  </si>
  <si>
    <t xml:space="preserve">Annual change in emissions </t>
  </si>
  <si>
    <t>Adjusted Environmental Beneifts Score</t>
  </si>
  <si>
    <t>Environmental Benefits Index</t>
  </si>
  <si>
    <t>EBI x 1 Mill</t>
  </si>
  <si>
    <t>Nutrient management</t>
  </si>
  <si>
    <t>Pesticide management</t>
  </si>
  <si>
    <t xml:space="preserve">changing effectiveness of water management, 2.5% improvement, 2.5 year capital </t>
  </si>
  <si>
    <t>Allow no fert on plant cane</t>
  </si>
  <si>
    <t>production type 8 = normal; 9 = green trash</t>
  </si>
  <si>
    <t>FLR/PLR=25; photo=25;invoice/farm budget=25;monitoring sites =25</t>
  </si>
  <si>
    <t xml:space="preserve">max to 5 </t>
  </si>
  <si>
    <t>max = 5</t>
  </si>
  <si>
    <t>management and property planning</t>
  </si>
  <si>
    <t>land preparation and management</t>
  </si>
  <si>
    <t>Crop husbandry</t>
  </si>
  <si>
    <t>water management</t>
  </si>
  <si>
    <t>irrigation timing and scheduling</t>
  </si>
  <si>
    <t>nutrient management</t>
  </si>
  <si>
    <t>fertiliser timing</t>
  </si>
  <si>
    <t>Fertiliser placement</t>
  </si>
  <si>
    <t>pesticide management</t>
  </si>
  <si>
    <t>total</t>
  </si>
  <si>
    <t>bses weighted total</t>
  </si>
  <si>
    <t>TOTALS</t>
  </si>
  <si>
    <t>BSES WEIGHTED TOTALS</t>
  </si>
  <si>
    <t>max</t>
  </si>
  <si>
    <t>fencing and solar pump</t>
  </si>
  <si>
    <t>lot #</t>
  </si>
  <si>
    <t xml:space="preserve">Soil type </t>
  </si>
  <si>
    <t>Plant amount of N (district average of 220 kg/ha application from Davis (2006))</t>
  </si>
  <si>
    <t>rattoon amount of N (district average of 220 kg/ha application from Davis (2006))</t>
  </si>
  <si>
    <t>Proposed fertilizer use in kgs of N for rattoon</t>
  </si>
  <si>
    <t>Total amount of N moving into ground water adjusted for farming practices</t>
  </si>
  <si>
    <t>Total N in ground water for the farm</t>
  </si>
  <si>
    <t>4.5bags northcote elders mix</t>
  </si>
  <si>
    <t>plus 3.3 cubes DUNDA</t>
  </si>
  <si>
    <t>Kgs</t>
  </si>
  <si>
    <t>Change in surface N &amp; 10% of Groundwater N leaving farm</t>
  </si>
  <si>
    <t>sort number</t>
  </si>
  <si>
    <r>
      <t xml:space="preserve">Turner, J. D., Mason, F. M. and Willcox, T. G., 2004. </t>
    </r>
    <r>
      <rPr>
        <i/>
        <sz val="12"/>
        <rFont val="Times New Roman"/>
        <family val="1"/>
      </rPr>
      <t>The revolution of resource management in the Australain sugarcane industry</t>
    </r>
    <r>
      <rPr>
        <sz val="12"/>
        <rFont val="Times New Roman"/>
        <family val="1"/>
      </rPr>
      <t>. Conserving Soil and Water for Society: Sharing Solutions.  13th International Soil Conservation Organisation Conference - July 2004, Brisbane.    Bell, M., Garside, A., Stirling, G. R., Magarey, R. C., Moody, P., Halpin, N. V., Berthelsen, J. and Bull, J. I., 2006. Impact of fallow length, organic amindments, break crops and tillage on soil biota and sugarcane growth. Proc. Aust. Soc. Sugar Cane Technol. 28, 273-290.</t>
    </r>
  </si>
  <si>
    <r>
      <t xml:space="preserve">Thorburn, P., 2004. </t>
    </r>
    <r>
      <rPr>
        <i/>
        <sz val="12"/>
        <rFont val="Times New Roman"/>
        <family val="1"/>
      </rPr>
      <t>Review of nitrogen fertiliser research in the Australian sugar industry</t>
    </r>
    <r>
      <rPr>
        <sz val="12"/>
        <rFont val="Times New Roman"/>
        <family val="1"/>
      </rPr>
      <t>. CSIRO Sustainable Ecosystems, St Lucia.        Prove, B., Doogan, V. and Truong, P., 1995. Nature and magnitude of soil erosion in sugarcane land on the wet tropical coast of north-eastern Queensland. Australian Journal of Experimental Agriculture 35, 641-9.</t>
    </r>
  </si>
  <si>
    <r>
      <t xml:space="preserve">Donn, M., Menzies, N., Gillman, G. and Rasiah, V., 2002. </t>
    </r>
    <r>
      <rPr>
        <i/>
        <sz val="12"/>
        <rFont val="Times New Roman"/>
        <family val="1"/>
      </rPr>
      <t>Factors influencing the retention of nitrate depth.</t>
    </r>
    <r>
      <rPr>
        <sz val="12"/>
        <rFont val="Times New Roman"/>
        <family val="1"/>
      </rPr>
      <t xml:space="preserve"> Sugar Research Development Corporation Final Report - Project No. CSE008, Townsville.            Verburg, K., Keating, B., Probert, M., Bristow, K. and Huth, N., 1998. Nitrate leaching under sugarcane: Interactions between crop yield, soil type and managment strategies. Australian Agronomy Conference, </t>
    </r>
  </si>
  <si>
    <r>
      <t xml:space="preserve">Rasiah, V. and Armour, J., 2001. Nitrate accumulation under cropping in the Ferrosols of Far North Queensland wet tropics. </t>
    </r>
    <r>
      <rPr>
        <i/>
        <sz val="12"/>
        <rFont val="Times New Roman"/>
        <family val="1"/>
      </rPr>
      <t>Australian Journal of Soil Research 39</t>
    </r>
    <r>
      <rPr>
        <sz val="12"/>
        <rFont val="Times New Roman"/>
        <family val="1"/>
      </rPr>
      <t xml:space="preserve">, 329-341.        Rasiah, V., Armour, A. D. and Menzies, N., 2002. Environmental association of nitrate-N retention in deep soil profiles in Queensland wet tropics. Sugar Research and Development Corporation Final Report - Project No. CSE008, Townsville.        </t>
    </r>
  </si>
  <si>
    <t xml:space="preserve">Weed free legume and EM mapping </t>
  </si>
  <si>
    <t>75% reduction on plant cane</t>
  </si>
  <si>
    <t>natural legume fertiliser trial</t>
  </si>
  <si>
    <t>use legumes + crop rotation</t>
  </si>
  <si>
    <t>Zero fertiliserinput</t>
  </si>
  <si>
    <t>soil Type to be confirmed</t>
  </si>
  <si>
    <t xml:space="preserve">Avg rain fall </t>
  </si>
  <si>
    <t>Ayr DPI</t>
  </si>
  <si>
    <t>Burd SC</t>
  </si>
  <si>
    <t>use</t>
  </si>
  <si>
    <t>CT airport</t>
  </si>
  <si>
    <t>CT PO</t>
  </si>
  <si>
    <t>EOI NUMBER:</t>
  </si>
  <si>
    <t>Landholder/Manager name:</t>
  </si>
  <si>
    <t>Project Name</t>
  </si>
  <si>
    <t>Mangment Considerations</t>
  </si>
  <si>
    <t>Management Options</t>
  </si>
  <si>
    <t xml:space="preserve">Current property visit result </t>
  </si>
  <si>
    <t xml:space="preserve">Yes = (1); No = blank or (0) or score 0 &lt;=&gt; 1 </t>
  </si>
  <si>
    <t>Property Details</t>
  </si>
  <si>
    <t>Information</t>
  </si>
  <si>
    <t>Size of Property (hectares)</t>
  </si>
  <si>
    <t>Approximate number of cattle run</t>
  </si>
  <si>
    <t>Approximate number of breeders in herd</t>
  </si>
  <si>
    <t>Subtotal</t>
  </si>
  <si>
    <t>Sub-Phase weighting</t>
  </si>
  <si>
    <t>Owner Details</t>
  </si>
  <si>
    <t xml:space="preserve">Years spent on the property </t>
  </si>
  <si>
    <t>Years spent in the district</t>
  </si>
  <si>
    <t xml:space="preserve">Number of adult owners working on the property </t>
  </si>
  <si>
    <t>1 fte, 3 casual</t>
  </si>
  <si>
    <t>Number of employees</t>
  </si>
  <si>
    <t>1-2 contractors</t>
  </si>
  <si>
    <t>Operation Type</t>
  </si>
  <si>
    <t>Breeding only</t>
  </si>
  <si>
    <t xml:space="preserve">Breeding and Limited Fattening </t>
  </si>
  <si>
    <t>Breeding and Fattening</t>
  </si>
  <si>
    <t>Fattening Only</t>
  </si>
  <si>
    <t>Accreditation</t>
  </si>
  <si>
    <t>Sum scores</t>
  </si>
  <si>
    <t>CattleCare or Similar</t>
  </si>
  <si>
    <t>European Union</t>
  </si>
  <si>
    <t>Other- demeter biodynamics- organic beef</t>
  </si>
  <si>
    <t>Record Keeping</t>
  </si>
  <si>
    <t xml:space="preserve">Keep daily diary of activities </t>
  </si>
  <si>
    <t xml:space="preserve">Paddock and herd records </t>
  </si>
  <si>
    <t xml:space="preserve">Pasture budgeting </t>
  </si>
  <si>
    <t xml:space="preserve">Detailed farm economics </t>
  </si>
  <si>
    <t xml:space="preserve">Skills Training </t>
  </si>
  <si>
    <t>Profit Probe</t>
  </si>
  <si>
    <t>Other management/grazing training - biodynamic research institute Aus</t>
  </si>
  <si>
    <t xml:space="preserve">Regular use of consultants </t>
  </si>
  <si>
    <t xml:space="preserve">Design </t>
  </si>
  <si>
    <t>Property largely fenced by country types</t>
  </si>
  <si>
    <t>n/a</t>
  </si>
  <si>
    <t>Key waterways and riparian areas can be managed in separate areas</t>
  </si>
  <si>
    <t>Off-stream watering mostly used to minimise stock access to streams</t>
  </si>
  <si>
    <t xml:space="preserve">Paddock management </t>
  </si>
  <si>
    <t>sum scores</t>
  </si>
  <si>
    <t>Paddocks tend to be stocked at set rates</t>
  </si>
  <si>
    <t xml:space="preserve">Most paddocks rotated </t>
  </si>
  <si>
    <t>Most paddocks are spelled for at least one month annually</t>
  </si>
  <si>
    <t>Cell grazing or other intensive rotation used</t>
  </si>
  <si>
    <t xml:space="preserve">Feeding </t>
  </si>
  <si>
    <t xml:space="preserve">No supplementary feeding in dry seasons </t>
  </si>
  <si>
    <t>Limited supplementary feeding in dry seasons</t>
  </si>
  <si>
    <t xml:space="preserve">Intensive supplementary feeding in dry seasons </t>
  </si>
  <si>
    <t xml:space="preserve">Use molasses based feeding in dry seasons </t>
  </si>
  <si>
    <t>Other</t>
  </si>
  <si>
    <t>Sub-Phase Weighting - count the last two categories only</t>
  </si>
  <si>
    <t>Main Drought Strategies</t>
  </si>
  <si>
    <t>Keep paddocks spare in case of drought</t>
  </si>
  <si>
    <t xml:space="preserve">Supplementary feeding </t>
  </si>
  <si>
    <t xml:space="preserve">Agistment </t>
  </si>
  <si>
    <t>Reduce stock numbers in line with pasture budgets</t>
  </si>
  <si>
    <t xml:space="preserve">Other </t>
  </si>
  <si>
    <t xml:space="preserve">Pasture </t>
  </si>
  <si>
    <t xml:space="preserve">Percentage of Property that has improved pasture </t>
  </si>
  <si>
    <t>Percentage of waterways that have weeds</t>
  </si>
  <si>
    <t>Sub-Phase Weighting</t>
  </si>
  <si>
    <t xml:space="preserve">Environmental Activities </t>
  </si>
  <si>
    <t xml:space="preserve">Regular weed control </t>
  </si>
  <si>
    <t>Prevention of gully erosion</t>
  </si>
  <si>
    <t>Targeted improvement of bare areas</t>
  </si>
  <si>
    <t>Restricting stock access to riparian areas</t>
  </si>
  <si>
    <t>kg/ha</t>
  </si>
  <si>
    <t>details received - email on file - and interpretted - not exact as couldn't ID Tunza 720</t>
  </si>
  <si>
    <t>Fallow with legume crop</t>
  </si>
  <si>
    <t xml:space="preserve">EM mapping </t>
  </si>
  <si>
    <t>Legumes with GPS</t>
  </si>
  <si>
    <t>Variable fert with tests and GPS</t>
  </si>
  <si>
    <t xml:space="preserve">legumes   </t>
  </si>
  <si>
    <t xml:space="preserve">weed free legumes  </t>
  </si>
  <si>
    <t>variable rate fertilizer</t>
  </si>
  <si>
    <t>Additional action</t>
  </si>
  <si>
    <t>Total EBS</t>
  </si>
  <si>
    <t>EBs/$ * 1000000</t>
  </si>
  <si>
    <t>pesticide</t>
  </si>
  <si>
    <t>nitrogen</t>
  </si>
  <si>
    <r>
      <t>Pesticide - if no information in scoresheet about potential reduction, then assume 75 % reduction.</t>
    </r>
    <r>
      <rPr>
        <sz val="10"/>
        <color indexed="10"/>
        <rFont val="Arial"/>
        <family val="2"/>
      </rPr>
      <t xml:space="preserve"> reduce atrazine and diuron to zero</t>
    </r>
  </si>
  <si>
    <t>Extra EBS (only 50% extra with recycle pits)</t>
  </si>
  <si>
    <t xml:space="preserve">Weighting used </t>
  </si>
  <si>
    <t>Weighted by size against 15mm of catchment Runoff</t>
  </si>
  <si>
    <t>Recycle pit extension: change in effectiveness</t>
  </si>
  <si>
    <t>Total change in emmissions from project</t>
  </si>
  <si>
    <t>Total change in emmissions from farm</t>
  </si>
  <si>
    <t xml:space="preserve">Total Change in emmissions </t>
  </si>
  <si>
    <t xml:space="preserve">kgs </t>
  </si>
  <si>
    <t>Total emmissions being reduced</t>
  </si>
  <si>
    <t>Extra change in emmissions</t>
  </si>
  <si>
    <t>Rank</t>
  </si>
  <si>
    <t>Recycle pit extension + upgrade + other water management actions</t>
  </si>
  <si>
    <t>Fertilizer monitor and GPS unit</t>
  </si>
  <si>
    <t xml:space="preserve">10% reduction </t>
  </si>
  <si>
    <r>
      <t xml:space="preserve">Reghenzani, J. R., Armour, J. D., Prove, B. G., Moody, P. W. and McShane, T., 1996. Nitrogen balances for sugarcane plant and first ratoon crops in the wet tropics.  In:  Wilson,  J.R., Hogarth, D.M., Campbell, J.A. and Garside, A.L. (eds).  </t>
    </r>
    <r>
      <rPr>
        <i/>
        <sz val="12"/>
        <rFont val="Times New Roman"/>
        <family val="1"/>
      </rPr>
      <t>Sugarcane research towards efficient and sustainable production</t>
    </r>
    <r>
      <rPr>
        <sz val="12"/>
        <rFont val="Times New Roman"/>
        <family val="1"/>
      </rPr>
      <t>.  CSIRO Division of Tropical Crops and Pasture. Brisbane.</t>
    </r>
  </si>
  <si>
    <t xml:space="preserve">Leaching of nitrogen below the root zone in the Johnston River catchment in North Queensland ranged between 30 and 50 percent of applied nitrogen (Rasiah and Armour, 2001); (Rasiah et al., 2002).  </t>
  </si>
  <si>
    <t xml:space="preserve">Leaching is lower in ratoon crops than in plant crops as root systems are more extensive in ratoon crops (Reghenzani et al., 1996).  </t>
  </si>
  <si>
    <r>
      <t xml:space="preserve">Garside, A., 2002. </t>
    </r>
    <r>
      <rPr>
        <i/>
        <sz val="12"/>
        <rFont val="Times New Roman"/>
        <family val="1"/>
      </rPr>
      <t>Yield decline studies - implications for N fertiliser management</t>
    </r>
    <r>
      <rPr>
        <sz val="12"/>
        <rFont val="Times New Roman"/>
        <family val="1"/>
      </rPr>
      <t>. Sugar Research Development Corporation  Final Report - Project No. CSE008, Townsville</t>
    </r>
  </si>
  <si>
    <r>
      <t xml:space="preserve">Garside, A., 2002. </t>
    </r>
    <r>
      <rPr>
        <i/>
        <sz val="12"/>
        <rFont val="Times New Roman"/>
        <family val="1"/>
      </rPr>
      <t>Yield decline studies - implications for N fertiliser management</t>
    </r>
    <r>
      <rPr>
        <sz val="12"/>
        <rFont val="Times New Roman"/>
        <family val="1"/>
      </rPr>
      <t>. Sugar Research Development Corporation  Final Report - Project No. CSE008, Townsville.      Thorburn, P., 2004. Review of nitrogen fertiliser research in the Australian sugar industry. CSIRO Sustainable Ecosystems, St Lucia.</t>
    </r>
  </si>
  <si>
    <t xml:space="preserve">Simulations using the Agriculture Production Systems Simulator (APSIM) indicated that nitrogen losses would be significantly reduced if application rates were reduced (Thorburn, 2004; (Verburg et al., 1998).   </t>
  </si>
  <si>
    <t>Brodie et al (2003) found that a 35 percent decrease in fertiliser application reduced the dissolved inorganic nitrogen export by 18 percent.  Reducing fertilizer application rates by 50% was modelled  by Rhode et al. (2006) to reduce dissolved inorganic nitrogen (DIN) emissions to less than 3 kg/ha/year,</t>
  </si>
  <si>
    <r>
      <t xml:space="preserve">Thorburn, P., 2004. </t>
    </r>
    <r>
      <rPr>
        <i/>
        <sz val="12"/>
        <rFont val="Times New Roman"/>
        <family val="1"/>
      </rPr>
      <t>Review of nitrogen fertiliser research in the Australian sugar industry</t>
    </r>
    <r>
      <rPr>
        <sz val="12"/>
        <rFont val="Times New Roman"/>
        <family val="1"/>
      </rPr>
      <t xml:space="preserve">. CSIRO Sustainable Ecosystems, St Lucia.    Verburg, K., Keating, B., Probert, M., Bristow, K. and Huth, N., 1998. Nitrate leaching under sugarcane: Interactions between crop yield, soil type and managment strategies. Australian Agronomy Conference, </t>
    </r>
  </si>
  <si>
    <r>
      <t xml:space="preserve">Brodie, J., McKergow, L. A., Prosser, I. P., Furnas, M., Hughes, A. O. and Hunter, H., 2003. </t>
    </r>
    <r>
      <rPr>
        <i/>
        <sz val="12"/>
        <rFont val="Times New Roman"/>
        <family val="1"/>
      </rPr>
      <t>Sources of sediment and nutrient exports to the Great Barrier Reef World Heritage Area</t>
    </r>
    <r>
      <rPr>
        <sz val="12"/>
        <rFont val="Times New Roman"/>
        <family val="1"/>
      </rPr>
      <t>. Report No. 03/11. Australian Centre for Tropical Freshwater Research, James Cook University, Townsville.                        Rohde, K., Masters, B., Sherman, B.S., Read, A., Chen, Y. and Carroll, C. 2006b Sediment and nutrient modelling in the Mackay Whitsunday NRM region. Volume 4 in: E. Cogle, C. Carroll and B.S. Sherman (eds) The use of SedNet and ANNEX models to guide GBR catchment sediment and nutrient target setting, Department of Natural Resources, Mines and Water, Brisbane.</t>
    </r>
  </si>
  <si>
    <t>In this initial section of the spreadsheet, basic details for the case study of interest are to be entered. There is to be one entry per bid. Where bid areas are very diverse, a representative site might be chosen, or several sites used and an average of the results taken.</t>
  </si>
  <si>
    <t>In this section of the spreadsheet, three key areas of scientific information are summarised, and then used in an equation to predict the existing average kgs/ha of sediment movement from the site. The three key tasks are to (a) predict the % of rainfall that actually runs off, (b) predict the amount of sediment that is included in the runoff, and (c) predict the proportion of that sediment runoff that reaches waterways. There is potential to add in variations according to (i) soil type, (ii) slopes &gt; 5%, and (iii) stream bank erosion</t>
  </si>
  <si>
    <t xml:space="preserve">In this section of the spreadsheet, the future level of sediment movement is predicted from a change in ground cover. From this, the potential change in sediment movement is predicted. </t>
  </si>
  <si>
    <t>In this section, the potential change in sediment movement is scaled up to the property level, with potential adjustments for longer term improvements and other limitations considered.</t>
  </si>
  <si>
    <t>In this section, the predicted level of sediment reduction from the property bid is compared with the target reductions for the relevant catchments. (Targets may need to be revised).</t>
  </si>
  <si>
    <t>In this section, the potential contribution of each proposal towards target outcomes is evaluated according to (a) how likely the actions can be verified, and (b) the cost of each bid proposal. The evaluated bids are then ranked in order.</t>
  </si>
  <si>
    <t>Catchment</t>
  </si>
  <si>
    <t>Details of current management activities and conditions</t>
  </si>
  <si>
    <t>Available scientific knowledge</t>
  </si>
  <si>
    <t>Future management activities and outputs</t>
  </si>
  <si>
    <t>Change in Sediment movement</t>
  </si>
  <si>
    <t>Other operationa and physical factors that might limit improvements</t>
  </si>
  <si>
    <t xml:space="preserve">Adjusted improvement in Sediment movement </t>
  </si>
  <si>
    <t>Target reductions from Haughton/Baratta</t>
  </si>
  <si>
    <t>Target reductions from case study area in lower Burd.</t>
  </si>
  <si>
    <t>Total target reductions</t>
  </si>
  <si>
    <t>Automatic calculation of improvement against target</t>
  </si>
  <si>
    <t>Area of bid proposal</t>
  </si>
  <si>
    <t>Average annual rainfall</t>
  </si>
  <si>
    <t>Current land rating</t>
  </si>
  <si>
    <t>Current land condition</t>
  </si>
  <si>
    <t>%Slope</t>
  </si>
  <si>
    <t>Stream frontage area</t>
  </si>
  <si>
    <t xml:space="preserve">Runoff per MM of rainfall as a function of ground cover </t>
  </si>
  <si>
    <t xml:space="preserve">% runoff </t>
  </si>
  <si>
    <t xml:space="preserve">Soil movement per MM of runoff as a function of ground cover </t>
  </si>
  <si>
    <t>Proportion of soil moving that reaches streams</t>
  </si>
  <si>
    <t>Estimated level of current sediment movement</t>
  </si>
  <si>
    <t>Management score</t>
  </si>
  <si>
    <t>Adjustment t0 15%</t>
  </si>
  <si>
    <t>Proposed management change</t>
  </si>
  <si>
    <t>Predicted future land rating</t>
  </si>
  <si>
    <t>Predicted future land condition</t>
  </si>
  <si>
    <t>Estimated level of future sediment movement</t>
  </si>
  <si>
    <t xml:space="preserve">Estimated change in sediment movement </t>
  </si>
  <si>
    <t xml:space="preserve">Adjustments to estimated change </t>
  </si>
  <si>
    <t>ha</t>
  </si>
  <si>
    <t>mm / year</t>
  </si>
  <si>
    <t>A, B, C, or D categories</t>
  </si>
  <si>
    <t>Indicative level of Ground Cover (%)</t>
  </si>
  <si>
    <t>Default set to 1 for average soil types</t>
  </si>
  <si>
    <t xml:space="preserve">Slope </t>
  </si>
  <si>
    <t>% of bid proposal</t>
  </si>
  <si>
    <t>Summary of scientific knowledge from separate sheet</t>
  </si>
  <si>
    <t xml:space="preserve">Soil movement </t>
  </si>
  <si>
    <t>Set stream runoff coefficient</t>
  </si>
  <si>
    <t>Soil type and Slope correction + stream frontage bonus</t>
  </si>
  <si>
    <t xml:space="preserve">Kgs per hectare </t>
  </si>
  <si>
    <t>Describe change - i.e. 'reduced stocking'</t>
  </si>
  <si>
    <t>Future predicted level of ground cover</t>
  </si>
  <si>
    <t>kgs per hectare</t>
  </si>
  <si>
    <t xml:space="preserve">Old movement - new movement x adjustment </t>
  </si>
  <si>
    <t>Sediment over full bid area</t>
  </si>
  <si>
    <t>Identify GBRMPA target reductions in sediment emissions from catchment</t>
  </si>
  <si>
    <t>Environmental Benefits Score / $ bid</t>
  </si>
  <si>
    <t>shire</t>
  </si>
  <si>
    <t>Enter category</t>
  </si>
  <si>
    <t>kgs /ha</t>
  </si>
  <si>
    <t>Tons  /  annum</t>
  </si>
  <si>
    <t>nw ayr on B river</t>
  </si>
  <si>
    <t>% runoff = Rainfall*.25*(17.6-0.188*Cover)/100</t>
  </si>
  <si>
    <t>Soil movement = EXP (4.625 - 4.309 x Cover)</t>
  </si>
  <si>
    <t>changing irrigation system - minimal WQ impact -min runoff</t>
  </si>
  <si>
    <t>Best value for money bid is ranked first (1), next best is ranked (2), and so on.</t>
  </si>
  <si>
    <t>dsc</t>
  </si>
  <si>
    <t>High C</t>
  </si>
  <si>
    <r>
      <t xml:space="preserve">not riparian project area </t>
    </r>
    <r>
      <rPr>
        <b/>
        <sz val="10"/>
        <rFont val="Arial"/>
        <family val="2"/>
      </rPr>
      <t xml:space="preserve">4 paddocks = 2024ha . </t>
    </r>
    <r>
      <rPr>
        <b/>
        <sz val="10"/>
        <color indexed="10"/>
        <rFont val="Arial"/>
        <family val="2"/>
      </rPr>
      <t>Farm size = 7689.</t>
    </r>
    <r>
      <rPr>
        <b/>
        <sz val="10"/>
        <rFont val="Arial"/>
        <family val="2"/>
      </rPr>
      <t xml:space="preserve"> Two projects one soil cover increase and second extend size of 2. sediment traps .- 1=5000L to 15000L + catchment =162ha; 2=from 30000L to 60,000L + catchment area 247ha</t>
    </r>
  </si>
  <si>
    <t>ne ayr</t>
  </si>
  <si>
    <t>Assume C</t>
  </si>
  <si>
    <t xml:space="preserve">wetland  but not riparian increase rotational grazing - no further info at this stage </t>
  </si>
  <si>
    <t>h H river</t>
  </si>
  <si>
    <t>B?</t>
  </si>
  <si>
    <t>small area little improvement in 1 yr</t>
  </si>
  <si>
    <t>A?</t>
  </si>
  <si>
    <t>two diff slopes ( 3000ha three slopes - first not counted) - not riparian - future intention to remove woody weeds</t>
  </si>
  <si>
    <t xml:space="preserve"> low C</t>
  </si>
  <si>
    <t>cutlabar 50ha plus additional seeding for 200ha</t>
  </si>
  <si>
    <t>high B</t>
  </si>
  <si>
    <t>n ayr</t>
  </si>
  <si>
    <t>high B?</t>
  </si>
  <si>
    <t>small area - little improvement in 1 yr</t>
  </si>
  <si>
    <t>next door to 92 - need info on current and expected ground cover and area/ length of buffer strip</t>
  </si>
  <si>
    <t>?</t>
  </si>
  <si>
    <t>This column gives the relative value of each bid</t>
  </si>
  <si>
    <t>Ranking formula in each cell has to be adjusted for the total number of bids involved by setting the relevant range (eg S7 to S18)</t>
  </si>
  <si>
    <t>52b (81)</t>
  </si>
  <si>
    <t>2000 acres</t>
  </si>
  <si>
    <t>Sub-Phase Weighting - count items / 3</t>
  </si>
  <si>
    <t>Sub-Phase Weighting - count items / 4</t>
  </si>
  <si>
    <t>grazing for profit</t>
  </si>
  <si>
    <t>Sub-Phase Weighting - count last three categories only / 3</t>
  </si>
  <si>
    <t>Sub-Phase Weighting - count categories / 4</t>
  </si>
  <si>
    <t>Sub-Phase Weighting - count items /4 * 2</t>
  </si>
  <si>
    <t>Slope</t>
  </si>
  <si>
    <t>Scanlan, J.C., Pressland, A.J. and Myles, D.J. (1996) "Runoff and soil movement on mid-slopes in north-east Queensland grazed woodlands", The Rangeland Journal, 18: 33-46</t>
  </si>
  <si>
    <t>Scanlan et al. (1996) :</t>
  </si>
  <si>
    <t xml:space="preserve">  -  Runoff decreases linearly with cover</t>
  </si>
  <si>
    <t xml:space="preserve"> -  soil movement can range from neglible to 1000 kg/ha/annum, depending mostly on cover</t>
  </si>
  <si>
    <t xml:space="preserve"> -  soil movement from areas with &gt;40% to 50% cover is very low</t>
  </si>
  <si>
    <r>
      <t xml:space="preserve"> -  soil movement from areas with </t>
    </r>
    <r>
      <rPr>
        <i/>
        <sz val="10"/>
        <rFont val="Arial"/>
        <family val="2"/>
      </rPr>
      <t>Bothriochloa</t>
    </r>
    <r>
      <rPr>
        <sz val="10"/>
        <rFont val="Arial"/>
        <family val="0"/>
      </rPr>
      <t xml:space="preserve"> pastures was lower than from areas with tussock pastures (</t>
    </r>
    <r>
      <rPr>
        <i/>
        <sz val="10"/>
        <rFont val="Arial"/>
        <family val="2"/>
      </rPr>
      <t>Heteropogon contortus</t>
    </r>
    <r>
      <rPr>
        <sz val="10"/>
        <rFont val="Arial"/>
        <family val="0"/>
      </rPr>
      <t xml:space="preserve"> - Black speargrass)</t>
    </r>
  </si>
  <si>
    <t xml:space="preserve"> -  cover tends to have a strong curvilenear effect on total soil loss</t>
  </si>
  <si>
    <t>Soil movement</t>
  </si>
  <si>
    <t>Cover</t>
  </si>
  <si>
    <t>LN soil movement</t>
  </si>
  <si>
    <t>Intercept</t>
  </si>
  <si>
    <t xml:space="preserve">  -  Suggest using a default of 1, with index score of between 0.75 and 1.25 assigned for soils that are relatively less or more erosive</t>
  </si>
  <si>
    <r>
      <t>Soil Type</t>
    </r>
    <r>
      <rPr>
        <sz val="10"/>
        <rFont val="Arial"/>
        <family val="0"/>
      </rPr>
      <t xml:space="preserve"> - Important but no information available </t>
    </r>
  </si>
  <si>
    <r>
      <t>Slope</t>
    </r>
    <r>
      <rPr>
        <sz val="10"/>
        <rFont val="Arial"/>
        <family val="0"/>
      </rPr>
      <t xml:space="preserve"> - Work of Scanlan et al. (1996) was for slopes up to 5%.  The inclusion of the formula (1+(J11-5)/100*5) allows for the rate of soil movement to double as slopes increase from 5% to 25%</t>
    </r>
  </si>
  <si>
    <r>
      <t>Stream frontage</t>
    </r>
    <r>
      <rPr>
        <sz val="10"/>
        <rFont val="Arial"/>
        <family val="0"/>
      </rPr>
      <t xml:space="preserve"> - usually important because of contribution from bank erosion. The formula (1+K11/100) allows for erosion rates to double as the proportion of stream frontage country increases</t>
    </r>
  </si>
  <si>
    <r>
      <t>Soil erosion</t>
    </r>
    <r>
      <rPr>
        <sz val="10"/>
        <rFont val="Arial"/>
        <family val="0"/>
      </rPr>
      <t xml:space="preserve"> is very site specific, and varies with rainfall intensity, soil type, hydrologic condition of the soil surface, slope, deposition and spatial issues</t>
    </r>
  </si>
  <si>
    <t>Ash, A.J., McIvor, J.G., Mott, J.J. and Andrew, M.H. (1997) "Building grass castles: Integrating ecology and management of Australia's tropical tallgrass rangelands", The Rangeland Journal, 19(2):123-144.</t>
  </si>
  <si>
    <t>From Scanlan et al. (1996)</t>
  </si>
  <si>
    <t>Live trees, native pastures, stocking rate = 1 AE/15ha</t>
  </si>
  <si>
    <r>
      <t xml:space="preserve">Runoff </t>
    </r>
    <r>
      <rPr>
        <sz val="10"/>
        <rFont val="Arial"/>
        <family val="0"/>
      </rPr>
      <t xml:space="preserve"> - Work of Scanlan et al. (1996) suggests that runoff is partly a function of rainfall, ground cover and other factors. Only about 25% of rainfall is available for runoff because of rainfall intensity and soil water deficit levels. Of that amount, there is a declining relationship between ground cover and runoff percentages. </t>
    </r>
  </si>
  <si>
    <t xml:space="preserve">  - Available for runoff = 25% of rainfall</t>
  </si>
  <si>
    <t xml:space="preserve">  - % of available that runs off = (17.6 - 18.8 * proportion of cover)</t>
  </si>
  <si>
    <t>Grazing management</t>
  </si>
  <si>
    <t>Transfer value from scoresheet (max = 1)</t>
  </si>
  <si>
    <t>Environmental Benefits Score  x farming systems x 100</t>
  </si>
  <si>
    <t xml:space="preserve">Grazing management </t>
  </si>
  <si>
    <t xml:space="preserve">Sediment </t>
  </si>
  <si>
    <t xml:space="preserve">Grazing </t>
  </si>
  <si>
    <r>
      <t xml:space="preserve">Klok, J. A., Charlesworth, P. B., Ham, G. J. and Bristow, K. L., 2004. </t>
    </r>
    <r>
      <rPr>
        <i/>
        <sz val="12"/>
        <rFont val="Times New Roman"/>
        <family val="1"/>
      </rPr>
      <t>Effects of irrigation on deep drainage and nitrate leaching in the Burdekin delta</t>
    </r>
    <r>
      <rPr>
        <sz val="12"/>
        <rFont val="Times New Roman"/>
        <family val="1"/>
      </rPr>
      <t>. Irrigation Association of Australia (IAA) National Conference 11-15 May 2004, Adelaide.</t>
    </r>
  </si>
  <si>
    <t>Max of 80% indicates this is not as preferable as input reductions</t>
  </si>
  <si>
    <t>Difficult to justify the 50% to 80% range</t>
  </si>
  <si>
    <t>Effectiveness of structure for removing N  - ranges from 50% to 80%</t>
  </si>
  <si>
    <t>Volum of 15mm of runoff</t>
  </si>
  <si>
    <t>Scoresheet from farm visit</t>
  </si>
  <si>
    <t>Other adjustments for effectiveness of actions</t>
  </si>
  <si>
    <t>Total target reductions across catchments</t>
  </si>
  <si>
    <t xml:space="preserve">Name </t>
  </si>
  <si>
    <t>Nitrogen in Burdekin and Haughton</t>
  </si>
  <si>
    <t>Identify the types of pesticide management action involved</t>
  </si>
  <si>
    <t>Identify the area of land involved</t>
  </si>
  <si>
    <t>Current application over farm</t>
  </si>
  <si>
    <t>Emissions from Burdekin and Haughton to use as the base (GBRMPA targets)</t>
  </si>
  <si>
    <t>Area of land involved</t>
  </si>
  <si>
    <t>Atrazine</t>
  </si>
  <si>
    <t>Diuron</t>
  </si>
  <si>
    <t>2-4D</t>
  </si>
  <si>
    <t>Chlorpyrifos</t>
  </si>
  <si>
    <t>MEMC</t>
  </si>
  <si>
    <t>Reduction in Atrazine</t>
  </si>
  <si>
    <t>Reduction in Diuron</t>
  </si>
  <si>
    <t>Reduction in 2-4D</t>
  </si>
  <si>
    <t>Target reduction of Atrazine from Burdekin and Haughton catchment</t>
  </si>
  <si>
    <t>Target reduction of Diuron from Burdekin and Haughton catchment</t>
  </si>
  <si>
    <t>Target reduction of 2-4D from Burdekin and Haughton catchment</t>
  </si>
  <si>
    <t>Total kgs over farm</t>
  </si>
  <si>
    <t>kgs</t>
  </si>
  <si>
    <t>Combine Pesticide scores across catchments</t>
  </si>
  <si>
    <t>Other adjustment factors</t>
  </si>
  <si>
    <t>Identify the types of nutrient management action involved</t>
  </si>
  <si>
    <t>Crop Husbandry</t>
  </si>
  <si>
    <t>Transfer value from scoresheet (max = 5)</t>
  </si>
  <si>
    <t>Transfer value from scoresheet (max = 2.5)</t>
  </si>
  <si>
    <t xml:space="preserve">Score </t>
  </si>
  <si>
    <t>Total out of 15</t>
  </si>
  <si>
    <t xml:space="preserve">Scaled total </t>
  </si>
  <si>
    <t>Scaled to total out of 1</t>
  </si>
  <si>
    <t>Proposed fertilizer use in kgs of N</t>
  </si>
  <si>
    <t>Default is district averge</t>
  </si>
  <si>
    <t>kgs/ ha</t>
  </si>
  <si>
    <t>Reduction in Atrazine - Direct</t>
  </si>
  <si>
    <t>Reduction in Diuron - Direct</t>
  </si>
  <si>
    <t>Reduction in 2-4D - Direct</t>
  </si>
  <si>
    <t>Reduction in Chlorpyrifos - Direct</t>
  </si>
  <si>
    <t>Reduction in MEMC - Direct</t>
  </si>
  <si>
    <t>Estimated reduction by landholder</t>
  </si>
  <si>
    <t>Current pesticide management score given from farm visit out of a possible 10 points</t>
  </si>
  <si>
    <t>Future pesticide management score given from farm visit out of a possible 10 points</t>
  </si>
  <si>
    <t>current class</t>
  </si>
  <si>
    <t>future class</t>
  </si>
  <si>
    <t>A</t>
  </si>
  <si>
    <t xml:space="preserve">Soil </t>
  </si>
  <si>
    <t>G</t>
  </si>
  <si>
    <t>B</t>
  </si>
  <si>
    <t>C</t>
  </si>
  <si>
    <t>D</t>
  </si>
  <si>
    <t>E</t>
  </si>
  <si>
    <t>H</t>
  </si>
  <si>
    <t xml:space="preserve">42 b </t>
  </si>
  <si>
    <t>withdrawn</t>
  </si>
  <si>
    <t>DO NOT DELETE ROW</t>
  </si>
  <si>
    <t>Withdrawn  do not delete row</t>
  </si>
  <si>
    <t>current</t>
  </si>
  <si>
    <t xml:space="preserve">This classification has been agreed with Toni BSES - she said P.Thorburn has said that in the Burdekin 6 easy steps is as good as replacement (only based on 3 trials) </t>
  </si>
  <si>
    <t>ZERO Till (no bids 4)</t>
  </si>
  <si>
    <t>With legume</t>
  </si>
  <si>
    <t xml:space="preserve">with Replacement </t>
  </si>
  <si>
    <t>no bids  in this category</t>
  </si>
  <si>
    <t>without legume</t>
  </si>
  <si>
    <t>MIN Till (no bids=41)</t>
  </si>
  <si>
    <t>with legume</t>
  </si>
  <si>
    <t>only 5 bids in ths category</t>
  </si>
  <si>
    <t xml:space="preserve">without legume </t>
  </si>
  <si>
    <t xml:space="preserve">with BSES rec </t>
  </si>
  <si>
    <t>with 6 easy steps</t>
  </si>
  <si>
    <t>CON Till (bids=31)</t>
  </si>
  <si>
    <t xml:space="preserve">with replacement </t>
  </si>
  <si>
    <t xml:space="preserve">no bids </t>
  </si>
  <si>
    <t>Correlations</t>
  </si>
  <si>
    <t>VAR00001</t>
  </si>
  <si>
    <t>VAR00002</t>
  </si>
  <si>
    <t>Pearson Correlation</t>
  </si>
  <si>
    <t>Sig. (2-tailed)</t>
  </si>
  <si>
    <t>**</t>
  </si>
  <si>
    <t>Correlation is significant at the 0.01 level (2-tailed).</t>
  </si>
  <si>
    <t>project</t>
  </si>
  <si>
    <t xml:space="preserve">water </t>
  </si>
  <si>
    <t>fert</t>
  </si>
  <si>
    <t>pest</t>
  </si>
  <si>
    <t>water management=30</t>
  </si>
  <si>
    <t>irrigation timing and scheduling=10</t>
  </si>
  <si>
    <t>pesticide management=10</t>
  </si>
  <si>
    <t>proportion of total wo project</t>
  </si>
  <si>
    <t>Adjusted Environmental Benefits Score</t>
  </si>
  <si>
    <t>Environmental benefits index</t>
  </si>
  <si>
    <t>Environmental Benefits Score  x farming systems x future intentions x 100</t>
  </si>
  <si>
    <t xml:space="preserve"> Adjusted Env. Benefits score / Bid</t>
  </si>
  <si>
    <t>Adjusted % of catchment target</t>
  </si>
  <si>
    <t>Missing data coded as 10.89</t>
  </si>
  <si>
    <t>Identifies effectiveness of structure</t>
  </si>
  <si>
    <t xml:space="preserve">changing effectiveness of water management, 50% improvement unless fertigation, 2.5 year capital </t>
  </si>
  <si>
    <t>precision farming, assume 0.25% improvement in N, 2.5 years for capital works</t>
  </si>
  <si>
    <r>
      <t>precision farming, assume 0.25% improvement in N, 2.5 years for capital works -</t>
    </r>
    <r>
      <rPr>
        <sz val="10"/>
        <color indexed="10"/>
        <rFont val="Arial"/>
        <family val="2"/>
      </rPr>
      <t xml:space="preserve"> has values but don't make sense</t>
    </r>
  </si>
  <si>
    <r>
      <t>changing effectiveness of water management, 0.2</t>
    </r>
    <r>
      <rPr>
        <sz val="10"/>
        <color indexed="10"/>
        <rFont val="Arial"/>
        <family val="2"/>
      </rPr>
      <t>5/3%</t>
    </r>
    <r>
      <rPr>
        <sz val="10"/>
        <rFont val="Arial"/>
        <family val="0"/>
      </rPr>
      <t xml:space="preserve"> improvement, 2.5 year capital </t>
    </r>
  </si>
  <si>
    <t>Thorburn farm Management class</t>
  </si>
  <si>
    <t>5 classes from A (replacement legumes) to E (Conventional worst)</t>
  </si>
  <si>
    <t xml:space="preserve">Soil Type </t>
  </si>
  <si>
    <t>Fert rate</t>
  </si>
  <si>
    <t>Buying land</t>
  </si>
  <si>
    <t>Replenishing aquifer</t>
  </si>
  <si>
    <r>
      <t>changing effectiveness of water management, 0.2</t>
    </r>
    <r>
      <rPr>
        <sz val="10"/>
        <color indexed="10"/>
        <rFont val="Arial"/>
        <family val="2"/>
      </rPr>
      <t>5/3%</t>
    </r>
    <r>
      <rPr>
        <sz val="10"/>
        <rFont val="Arial"/>
        <family val="0"/>
      </rPr>
      <t xml:space="preserve"> improvement, 5 year capital </t>
    </r>
  </si>
  <si>
    <t xml:space="preserve">changing effectiveness of water management, 0.25% improvement  in water, change in N applications ?? 2.5 year capital </t>
  </si>
  <si>
    <t xml:space="preserve">changing effectiveness of water management, 0.25% improvement, 5 year capital </t>
  </si>
  <si>
    <r>
      <t>changing effectiveness of water management, 0.25</t>
    </r>
    <r>
      <rPr>
        <sz val="10"/>
        <color indexed="10"/>
        <rFont val="Arial"/>
        <family val="2"/>
      </rPr>
      <t>/3%</t>
    </r>
    <r>
      <rPr>
        <sz val="10"/>
        <rFont val="Arial"/>
        <family val="0"/>
      </rPr>
      <t xml:space="preserve"> improvement, 2.5 year capital </t>
    </r>
  </si>
  <si>
    <t>Pipes in infrastructure section</t>
  </si>
  <si>
    <t>Use of scorecard</t>
  </si>
  <si>
    <t>Weighting in Scorecare</t>
  </si>
  <si>
    <t>Adopt GPS in Land Preparation section</t>
  </si>
  <si>
    <t>Adopt GPS in Land Preparation section / 3</t>
  </si>
  <si>
    <t>Laser level in Land Preparation</t>
  </si>
  <si>
    <t xml:space="preserve">changing effectiveness of water management (same as laser levelling, 5% improvement, 5 year capital </t>
  </si>
  <si>
    <t>making existing pits more effective by adding recycling - (current pit is 6 x 15mm runoff)  plus laser levelling: 5 years capital works</t>
  </si>
  <si>
    <t>Make this a recycle pit upgrade</t>
  </si>
  <si>
    <t>Reduction option 1 - Change in application rate (may involve change in method)</t>
  </si>
  <si>
    <t xml:space="preserve">Score sheet </t>
  </si>
  <si>
    <t>EOI</t>
  </si>
  <si>
    <t xml:space="preserve">Sector </t>
  </si>
  <si>
    <t>Total Bid</t>
  </si>
  <si>
    <t>Contribution</t>
  </si>
  <si>
    <t>Net Bid</t>
  </si>
  <si>
    <t>Contribution / Bid ratio</t>
  </si>
  <si>
    <t>Project description</t>
  </si>
  <si>
    <t>Property description</t>
  </si>
  <si>
    <t>Lot numbers</t>
  </si>
  <si>
    <t>Adaption for metric</t>
  </si>
  <si>
    <t>Town</t>
  </si>
  <si>
    <t>Lot description</t>
  </si>
  <si>
    <t>Bonus for multiple activities</t>
  </si>
  <si>
    <t>Improve scores by up to 10% according to combinations of activities proposed</t>
  </si>
  <si>
    <t>Assign as a proportion to maximum of 0.1</t>
  </si>
  <si>
    <t>Farming systems score</t>
  </si>
  <si>
    <t>verification</t>
  </si>
  <si>
    <r>
      <t>recycle pit</t>
    </r>
    <r>
      <rPr>
        <sz val="10"/>
        <rFont val="Arial"/>
        <family val="0"/>
      </rPr>
      <t xml:space="preserve"> manual adjustment for effectiveness</t>
    </r>
  </si>
  <si>
    <t>monitoring</t>
  </si>
  <si>
    <t>FLR,  Photo, Invoice</t>
  </si>
  <si>
    <t>FLR,  Photo, Invoice, Diary</t>
  </si>
  <si>
    <t>check? Maybe extension / upgrade</t>
  </si>
  <si>
    <t>Photo, invoice</t>
  </si>
  <si>
    <t>Photo</t>
  </si>
  <si>
    <t>Recycle pit extension + upgrade</t>
  </si>
  <si>
    <t>photo, diary, farm budget</t>
  </si>
  <si>
    <t xml:space="preserve">FLR, photo, Invoice   </t>
  </si>
  <si>
    <t>irrigation improvement</t>
  </si>
  <si>
    <t>Diary, Farm Budget</t>
  </si>
  <si>
    <t>FLR, Photo, Invoice, Monitoring sites</t>
  </si>
  <si>
    <t>Farming systems weighting</t>
  </si>
  <si>
    <t>Weighting of farming systems / verification score</t>
  </si>
  <si>
    <t>Combination of management scores and verification proposals</t>
  </si>
  <si>
    <t>Summary of future intentions from farm visit score sheet</t>
  </si>
  <si>
    <t>Weighting for pesticide movement</t>
  </si>
  <si>
    <t>Farming systems (verification)</t>
  </si>
  <si>
    <t>Take score from separate arming systems / verification sheet</t>
  </si>
  <si>
    <t xml:space="preserve">Management skills and property planning </t>
  </si>
  <si>
    <t xml:space="preserve">Land Preparation and Management </t>
  </si>
  <si>
    <t>Proposed Verification</t>
  </si>
  <si>
    <t>Proposed actions from landholders</t>
  </si>
  <si>
    <t>recycle pit upgrade</t>
  </si>
  <si>
    <t>FLR, Invoice, Monitoring, Diary, spray logs, Elec. Recording</t>
  </si>
  <si>
    <t xml:space="preserve"> recycle pit upgrade</t>
  </si>
  <si>
    <r>
      <t xml:space="preserve">Pesticide - if no information in scoresheet about potential reduction, then assume 25 % reduction - </t>
    </r>
    <r>
      <rPr>
        <sz val="10"/>
        <color indexed="10"/>
        <rFont val="Arial"/>
        <family val="2"/>
      </rPr>
      <t>have values</t>
    </r>
  </si>
  <si>
    <t>FLR, Diary, Endevour program, spray log, farm budget</t>
  </si>
  <si>
    <t>FLR, Diary</t>
  </si>
  <si>
    <t xml:space="preserve">recycle pit extension </t>
  </si>
  <si>
    <t>FLR, Photo, Invoice, Monitoring sites, GIS Data</t>
  </si>
  <si>
    <r>
      <t>changing effectiveness of water management, 80% improvement</t>
    </r>
    <r>
      <rPr>
        <sz val="10"/>
        <color indexed="10"/>
        <rFont val="Arial"/>
        <family val="2"/>
      </rPr>
      <t xml:space="preserve"> unless fertigation</t>
    </r>
    <r>
      <rPr>
        <sz val="10"/>
        <rFont val="Arial"/>
        <family val="0"/>
      </rPr>
      <t>, 5 year capital ??</t>
    </r>
  </si>
  <si>
    <t>FLR, Invoice, The sat images will verify the befor and after scenarios in terms of land use area</t>
  </si>
  <si>
    <t>Photo, Invoice</t>
  </si>
  <si>
    <t>FLR, Diary, BSES paddock journal, private consultant</t>
  </si>
  <si>
    <t>FLR, Diary, Electronic (MS word), spray sheets, GPSdata</t>
  </si>
  <si>
    <t>PLR, Photo, Invoice, Diary</t>
  </si>
  <si>
    <r>
      <t xml:space="preserve">Allow 5 - 10% reduction in N, 2.5 years for capital works </t>
    </r>
    <r>
      <rPr>
        <sz val="10"/>
        <color indexed="10"/>
        <rFont val="Arial"/>
        <family val="2"/>
      </rPr>
      <t>will reduce to zero after plant and reduce after ratoon</t>
    </r>
  </si>
  <si>
    <t>FLR, photo,invoice, farm budget, journal, GPS markin out</t>
  </si>
  <si>
    <t xml:space="preserve">Watering points </t>
  </si>
  <si>
    <t>photo, invoice, monitoring sites</t>
  </si>
  <si>
    <t>FLR, Diary, spray log, budget</t>
  </si>
  <si>
    <t>FLR, photo, invoice, diary, spray log</t>
  </si>
  <si>
    <r>
      <t xml:space="preserve">changing effectiveness of water management, 80% improvement unless fertigation, 5 year capital ?? </t>
    </r>
    <r>
      <rPr>
        <sz val="10"/>
        <color indexed="10"/>
        <rFont val="Arial"/>
        <family val="2"/>
      </rPr>
      <t>No mention fertigation</t>
    </r>
  </si>
  <si>
    <t>extension of recycling system to cover both blocks plus break cropping / seed planter</t>
  </si>
  <si>
    <t>FLR, BSES paddock journal, spray log, farm budget</t>
  </si>
  <si>
    <t>FLR,photo,invoice</t>
  </si>
  <si>
    <t>check swamp is not wetlands</t>
  </si>
  <si>
    <t>photo and diary</t>
  </si>
  <si>
    <t>Farm Visit scores for Water Management and Irrigation practices (max = 40)</t>
  </si>
  <si>
    <t>Insert total score from 40 (link to farm visit score sheet)</t>
  </si>
  <si>
    <t>Weighting of adjustment factor for relevant practices</t>
  </si>
  <si>
    <t>Nitrogen application rate to plant cane</t>
  </si>
  <si>
    <t>Nitrogen application rate to ratoon</t>
  </si>
  <si>
    <t>Proportion of Plant cane compared to ratoon</t>
  </si>
  <si>
    <t>Weighting for future intentions</t>
  </si>
  <si>
    <t>75% reduction in plant cane</t>
  </si>
  <si>
    <t>5% reduction in future</t>
  </si>
  <si>
    <t>75% reduction in plant</t>
  </si>
  <si>
    <t>5% reduction in future and a further 2.5% reduction in plant</t>
  </si>
  <si>
    <t>atrazine to zero</t>
  </si>
  <si>
    <t>reduce diuron by 2/3 and atrazine by 1/2</t>
  </si>
  <si>
    <t>Adjustment weighting from data entry sheet</t>
  </si>
  <si>
    <t>Farming Systems weighting</t>
  </si>
  <si>
    <t>Weighting for importance of farming system and verification issues</t>
  </si>
  <si>
    <t xml:space="preserve">Farming systems weighting </t>
  </si>
  <si>
    <t>Bonus for future intentions</t>
  </si>
  <si>
    <t xml:space="preserve">Weighting for future intentions </t>
  </si>
  <si>
    <t>Weighting for importance of future intentions</t>
  </si>
  <si>
    <t>Visit scores given for current Nutrient Man., Fert. Place and Fert Timing</t>
  </si>
  <si>
    <t>Score out of 50</t>
  </si>
  <si>
    <t xml:space="preserve">Proposed application to plant cane </t>
  </si>
  <si>
    <t>Proposed application to ratoons</t>
  </si>
  <si>
    <t>designed by engineer</t>
  </si>
  <si>
    <t>FLR, photo, invoice, farm budget</t>
  </si>
  <si>
    <t>FLR, photo, invoice</t>
  </si>
  <si>
    <t xml:space="preserve">FLR, photo, monitoring sites, Paddock journal, GPS marking out. </t>
  </si>
  <si>
    <r>
      <t>Pesticide - if no information in scoresheet about potential reduction, then assume 25 % reduction.</t>
    </r>
    <r>
      <rPr>
        <sz val="10"/>
        <color indexed="10"/>
        <rFont val="Arial"/>
        <family val="2"/>
      </rPr>
      <t xml:space="preserve"> reduce atrazine and diuron to zero</t>
    </r>
  </si>
  <si>
    <t>photo, invoice</t>
  </si>
  <si>
    <t>FLR, Diary, paddock journal, GPS markout</t>
  </si>
  <si>
    <t>FLR, Photo, invoice, diary</t>
  </si>
  <si>
    <t>FLR, Photo, Invoice, Monitor</t>
  </si>
  <si>
    <t xml:space="preserve"> 10 ha trial Allow 15 - 25% reduction in N, 2.5 years for capital works</t>
  </si>
  <si>
    <t>FLR, invoice, diary (10years) and spray log, farm budget</t>
  </si>
  <si>
    <t>FLR, photo, farm budget, monitoring sites water test</t>
  </si>
  <si>
    <t>Recycle pit_extension</t>
  </si>
  <si>
    <t>FLR, photo,invoice, spraylog, farm budget</t>
  </si>
  <si>
    <t xml:space="preserve">FLR, photo, monitoring sites </t>
  </si>
  <si>
    <t xml:space="preserve">curernt info in score sheet reduce to zero  </t>
  </si>
  <si>
    <t>photo</t>
  </si>
  <si>
    <r>
      <t>Pesticide - if no information in scoresheet about potential reduction, then assume 25 % reduction -</t>
    </r>
    <r>
      <rPr>
        <sz val="10"/>
        <color indexed="10"/>
        <rFont val="Arial"/>
        <family val="2"/>
      </rPr>
      <t xml:space="preserve"> have values</t>
    </r>
  </si>
  <si>
    <t>Deep drainage estimates from irrigation water to groundwater systems are limited. Bed on single irrigation events, the following estimates for drainage below the crop rootzone include (irrigation only): 43 – 60% (Holden et al, 1997), 39 – 60% (Raine, 1995), (irrigation plus rainfall) 4 – 62% based on 10-24 M/ha PLUS rainfall (Charlesworth et al, 2002)</t>
  </si>
  <si>
    <t>BSES recommended rates are 135 – 150kg/ha for plant cane &amp; 210-230kg/ha for ratoon (Davis, 2006</t>
  </si>
  <si>
    <t xml:space="preserve"> Average nitrogen application rates 2000 – 2003  - 220kg/ha (Kuhn cited in Davis, 2006)</t>
  </si>
  <si>
    <r>
      <t xml:space="preserve">Davis A, 2006, </t>
    </r>
    <r>
      <rPr>
        <i/>
        <sz val="12"/>
        <rFont val="Times New Roman"/>
        <family val="1"/>
      </rPr>
      <t>Overview of research and environmental issues relevant to development of recommended practices for sugar cane farming in the Lower Burdekin region</t>
    </r>
    <r>
      <rPr>
        <sz val="12"/>
        <rFont val="Times New Roman"/>
        <family val="1"/>
      </rPr>
      <t>, Australian Centre for Tropical Freshwater Research, Townsville</t>
    </r>
  </si>
  <si>
    <r>
      <t xml:space="preserve">Holden J and Mallon K, 1997, </t>
    </r>
    <r>
      <rPr>
        <i/>
        <sz val="12"/>
        <rFont val="Times New Roman"/>
        <family val="1"/>
      </rPr>
      <t>Increasing irrigation efficiencies in the Australian Sugar Industry</t>
    </r>
    <r>
      <rPr>
        <sz val="12"/>
        <rFont val="Times New Roman"/>
        <family val="1"/>
      </rPr>
      <t>, LWRRDC Final Report Project BSE2.      Raine S, 1995, Increasing the efficiency of furrow irrigation for sugar cane production in the Burdekin, 12th National Irrigation Association of Australia Conference “Irrigation – Image and Survival”, 15-17th May, Tamworth.    Charlesworth P, Chinn C, Bristow K and Ham G, 2002, Healthy Crop and Health Groundwater – Sugarcane in the Burdekin Delta, 20 – 24 May, IAA Conference, Sydney</t>
    </r>
  </si>
  <si>
    <t>Percentage of Soil type in Lower Burdekin</t>
  </si>
  <si>
    <t>Irrigation System Efficiency in soil type (%)</t>
  </si>
  <si>
    <t>Optimal Water Application (ML/ha)</t>
  </si>
  <si>
    <t>Furrow</t>
  </si>
  <si>
    <t>Trickle</t>
  </si>
  <si>
    <t>North Burdekin Water Board Area</t>
  </si>
  <si>
    <t>South Burdekin Water Board Area</t>
  </si>
  <si>
    <t>Low Permeability or Clay</t>
  </si>
  <si>
    <t>Medium Permeability or Silt</t>
  </si>
  <si>
    <t>High Permeability or Sand</t>
  </si>
  <si>
    <r>
      <t xml:space="preserve">Qureshi M, Arunakumaren J, Bajracharya K, Wegener M, Qureshi S and Bristow K, 2002, </t>
    </r>
    <r>
      <rPr>
        <i/>
        <sz val="12"/>
        <rFont val="Times New Roman"/>
        <family val="1"/>
      </rPr>
      <t>Economic and environmental impacts of groundwater management scenarios in Burdekin Delta</t>
    </r>
    <r>
      <rPr>
        <sz val="12"/>
        <rFont val="Times New Roman"/>
        <family val="1"/>
      </rPr>
      <t>, 46</t>
    </r>
    <r>
      <rPr>
        <vertAlign val="superscript"/>
        <sz val="12"/>
        <rFont val="Times New Roman"/>
        <family val="1"/>
      </rPr>
      <t>th</t>
    </r>
    <r>
      <rPr>
        <sz val="12"/>
        <rFont val="Times New Roman"/>
        <family val="1"/>
      </rPr>
      <t xml:space="preserve"> Australian Agricultural and Resource Economics Society Conference, Canberra, 13-15 February</t>
    </r>
  </si>
  <si>
    <t>stated pesticide use</t>
  </si>
  <si>
    <t>stated proposed reduction</t>
  </si>
  <si>
    <t>new rate Atrazine</t>
  </si>
  <si>
    <t>new rate Diuron</t>
  </si>
  <si>
    <t>new rate 24D</t>
  </si>
  <si>
    <t>note mixed quality estimate kg/ Litre</t>
  </si>
  <si>
    <t>proportion of total</t>
  </si>
  <si>
    <t>just mngt skills</t>
  </si>
  <si>
    <t xml:space="preserve">values kept as proportion of total future score </t>
  </si>
  <si>
    <t>max=40</t>
  </si>
  <si>
    <t>nutrient management=30</t>
  </si>
  <si>
    <t>fertiliser timing=10</t>
  </si>
  <si>
    <t>Fertiliser placement=10</t>
  </si>
  <si>
    <t>max=10</t>
  </si>
  <si>
    <t>all cells locked to AU3</t>
  </si>
  <si>
    <t>all cells locked to av3</t>
  </si>
  <si>
    <t>bags</t>
  </si>
  <si>
    <t>plus 250kgs/ha dual 500 for rattoon</t>
  </si>
  <si>
    <t>Plus 3 bags 533 on plant per acere</t>
  </si>
  <si>
    <t>read comment on EOI # cell</t>
  </si>
  <si>
    <t>bags and kgs</t>
  </si>
  <si>
    <t>"variable Dunda"</t>
  </si>
  <si>
    <t>have assumed same as above due to the nature of the project</t>
  </si>
  <si>
    <t>no info</t>
  </si>
  <si>
    <t>these three have the same score sheet so are assumed to use the same fert app. Rates</t>
  </si>
  <si>
    <r>
      <t xml:space="preserve">Qureshi M, Mallawaarachchi T, Wegener M, Bristow K, Charlesworth P and Lisson S, 2001, </t>
    </r>
    <r>
      <rPr>
        <i/>
        <sz val="12"/>
        <rFont val="Times New Roman"/>
        <family val="1"/>
      </rPr>
      <t>Economic Evaluation of Alternative Irrigation Practices for Sugarcane Production in the Burdekin Delta</t>
    </r>
    <r>
      <rPr>
        <sz val="12"/>
        <rFont val="Times New Roman"/>
        <family val="1"/>
      </rPr>
      <t>, 23 – 25 January 2001, Annual Conference of the Australian Agricultural and Resource Economics Society, Adelaide</t>
    </r>
  </si>
  <si>
    <t>Range of Values ML/year</t>
  </si>
  <si>
    <t>SKM (1997)</t>
  </si>
  <si>
    <t>Hadgraft &amp; Volker (1980)</t>
  </si>
  <si>
    <t>Volker (1977)</t>
  </si>
  <si>
    <t>McMahon, Arunakumaren, &amp; Bajracharya (2002)</t>
  </si>
  <si>
    <t>Recharge from floods</t>
  </si>
  <si>
    <t>150 000 – 500 000</t>
  </si>
  <si>
    <t>46 000</t>
  </si>
  <si>
    <t>&lt;260 000</t>
  </si>
  <si>
    <t>Recharge from rainfall</t>
  </si>
  <si>
    <t>179 000</t>
  </si>
  <si>
    <t>138 394</t>
  </si>
  <si>
    <t>River Recharge</t>
  </si>
  <si>
    <t>23 500 – 71 500</t>
  </si>
  <si>
    <t>15 800</t>
  </si>
  <si>
    <t>84 088</t>
  </si>
  <si>
    <t>6 000 – 67 500</t>
  </si>
  <si>
    <t>Artificial Recharge</t>
  </si>
  <si>
    <t>94 000</t>
  </si>
  <si>
    <t>27 600</t>
  </si>
  <si>
    <t>31 533</t>
  </si>
  <si>
    <t>~100 000</t>
  </si>
  <si>
    <t>Irrigation Accessions to Groundwater</t>
  </si>
  <si>
    <t>230 000</t>
  </si>
  <si>
    <t>330 000 – 650 000</t>
  </si>
  <si>
    <t>Total Aquifer Recharge</t>
  </si>
  <si>
    <t>517 500 – 895 500</t>
  </si>
  <si>
    <t>268 400</t>
  </si>
  <si>
    <t>254 015</t>
  </si>
  <si>
    <t>~430 000 – 850 000</t>
  </si>
  <si>
    <t>Irrigation Use</t>
  </si>
  <si>
    <t>480 000 – 980 000</t>
  </si>
  <si>
    <t>Open Water Pumping</t>
  </si>
  <si>
    <t>33 000 – 171 000</t>
  </si>
  <si>
    <t>Groundwater Pumping</t>
  </si>
  <si>
    <t>426 000</t>
  </si>
  <si>
    <t>236 000</t>
  </si>
  <si>
    <t>440 000 – 830 000</t>
  </si>
  <si>
    <t>Burdekin River Drainage</t>
  </si>
  <si>
    <t>0 – 16 250</t>
  </si>
  <si>
    <t>Groundwater Discharge Sea</t>
  </si>
  <si>
    <t>3 000 – 10 700</t>
  </si>
  <si>
    <t>68 600</t>
  </si>
  <si>
    <t>6 657</t>
  </si>
  <si>
    <t>1 500 – 9 000</t>
  </si>
  <si>
    <t>Lateral Flow to BRIA</t>
  </si>
  <si>
    <t>100 – 3 200</t>
  </si>
  <si>
    <t>Total Aquifer Discharge</t>
  </si>
  <si>
    <t>Input column</t>
  </si>
  <si>
    <t>429 000 – 436 700</t>
  </si>
  <si>
    <t>304 600</t>
  </si>
  <si>
    <t>440 000 – 845 000</t>
  </si>
  <si>
    <r>
      <t xml:space="preserve">Sinclair Knight Merz, 1997, </t>
    </r>
    <r>
      <rPr>
        <i/>
        <sz val="12"/>
        <rFont val="Times New Roman"/>
        <family val="1"/>
      </rPr>
      <t>North and South Burdekin Water Boards</t>
    </r>
    <r>
      <rPr>
        <sz val="12"/>
        <rFont val="Times New Roman"/>
        <family val="1"/>
      </rPr>
      <t>, Burdekin River Issues 2, Technical issues Vol. 1 of 3</t>
    </r>
  </si>
  <si>
    <r>
      <t xml:space="preserve">Hadgraft R and Volker R, 1980, </t>
    </r>
    <r>
      <rPr>
        <i/>
        <sz val="12"/>
        <rFont val="Times New Roman"/>
        <family val="1"/>
      </rPr>
      <t>A model for predicting aquifer recharge from rainfall and river flow, Groundwater Recharge Conference</t>
    </r>
    <r>
      <rPr>
        <sz val="12"/>
        <rFont val="Times New Roman"/>
        <family val="1"/>
      </rPr>
      <t>, AWRC, Australian Government Publishing Service, Canberra</t>
    </r>
  </si>
  <si>
    <t>4 Thorburn categories</t>
  </si>
  <si>
    <t xml:space="preserve">5 = furrow,        6 = overhead,       7 = trickle </t>
  </si>
  <si>
    <t>Default assumption is 20% plant cane</t>
  </si>
  <si>
    <t>Effectiveness of structure for capture, using LN function to 80% max</t>
  </si>
  <si>
    <t>Ratio of storage capacity to 15 mm runoff</t>
  </si>
  <si>
    <t>Extensions rated at 20%, ext +operation = 30%</t>
  </si>
  <si>
    <t>Test for upgrade to have higher adjustment (40 - 50%</t>
  </si>
  <si>
    <t>Change in annual N leaving farm</t>
  </si>
  <si>
    <r>
      <t>changing effectiveness of water management, 0.08</t>
    </r>
    <r>
      <rPr>
        <sz val="10"/>
        <color indexed="10"/>
        <rFont val="Arial"/>
        <family val="2"/>
      </rPr>
      <t>/3%</t>
    </r>
    <r>
      <rPr>
        <sz val="10"/>
        <rFont val="Arial"/>
        <family val="0"/>
      </rPr>
      <t xml:space="preserve"> improvement, 2.5 year capital </t>
    </r>
  </si>
  <si>
    <r>
      <t>changing effectiveness of water management, 0.2</t>
    </r>
    <r>
      <rPr>
        <sz val="10"/>
        <color indexed="10"/>
        <rFont val="Arial"/>
        <family val="2"/>
      </rPr>
      <t>5/2%</t>
    </r>
    <r>
      <rPr>
        <sz val="10"/>
        <rFont val="Arial"/>
        <family val="0"/>
      </rPr>
      <t xml:space="preserve"> improvement, 2.5 year capital </t>
    </r>
  </si>
  <si>
    <t>1007 (84)</t>
  </si>
  <si>
    <t>laser level+ min till + GTCTB</t>
  </si>
  <si>
    <t>0.5kg/ha Atrazine; 0.3k/h Diuron</t>
  </si>
  <si>
    <t>laser levelling min till +GCTB</t>
  </si>
  <si>
    <t>laser level reducde water by 35-40% from 16ML to 10-12ML + min till + GCTB on 25% project area</t>
  </si>
  <si>
    <t>? -PLR</t>
  </si>
  <si>
    <t>? _PLR</t>
  </si>
  <si>
    <t>Environmental Benefits Score</t>
  </si>
  <si>
    <t xml:space="preserve">5 = furrow,        6 = Overhead,       7 = trickle </t>
  </si>
  <si>
    <r>
      <t xml:space="preserve">Volker R, 1977, </t>
    </r>
    <r>
      <rPr>
        <i/>
        <sz val="12"/>
        <rFont val="Times New Roman"/>
        <family val="1"/>
      </rPr>
      <t>Numerical</t>
    </r>
    <r>
      <rPr>
        <sz val="12"/>
        <rFont val="Times New Roman"/>
        <family val="1"/>
      </rPr>
      <t xml:space="preserve"> </t>
    </r>
    <r>
      <rPr>
        <i/>
        <sz val="12"/>
        <rFont val="Times New Roman"/>
        <family val="1"/>
      </rPr>
      <t>modelling of an aquifer system with intermittent recharge</t>
    </r>
    <r>
      <rPr>
        <sz val="12"/>
        <rFont val="Times New Roman"/>
        <family val="1"/>
      </rPr>
      <t>, AWRC Technical Paper No. 23, Australian Government Publishing Service, Canberra</t>
    </r>
  </si>
  <si>
    <r>
      <t xml:space="preserve">McMahon G, Arunakumaren  N and Bajrachayra K, 2002, </t>
    </r>
    <r>
      <rPr>
        <i/>
        <sz val="12"/>
        <rFont val="Times New Roman"/>
        <family val="1"/>
      </rPr>
      <t>Estimation of the groundwater budget of the Burdekin River Delta Aquifer, North Queensland”</t>
    </r>
    <r>
      <rPr>
        <sz val="12"/>
        <rFont val="Times New Roman"/>
        <family val="1"/>
      </rPr>
      <t xml:space="preserve"> International Association of Hydrogeologists Conference, 14-17 May, Darwin</t>
    </r>
  </si>
  <si>
    <t>Identify the types of water management action involved</t>
  </si>
  <si>
    <t xml:space="preserve">Predicted reductions in N moving off farm </t>
  </si>
  <si>
    <t>Instructions</t>
  </si>
  <si>
    <t>Values have to be entered for each bid to describe current situation</t>
  </si>
  <si>
    <t>Values have to be entered for each bid to describe improvement</t>
  </si>
  <si>
    <t>Set values for conservation tender</t>
  </si>
  <si>
    <t>Values for adjustment factors to be entered</t>
  </si>
  <si>
    <t>Values automatically calculated</t>
  </si>
  <si>
    <t xml:space="preserve"> </t>
  </si>
  <si>
    <t>Capital costs involved</t>
  </si>
  <si>
    <t>Bid Identification</t>
  </si>
  <si>
    <t>Bid</t>
  </si>
  <si>
    <t>Score</t>
  </si>
  <si>
    <t>Proposed action</t>
  </si>
  <si>
    <t>Predicted reductions in outputs</t>
  </si>
  <si>
    <t>Other factors</t>
  </si>
  <si>
    <t>Target GBRMPA reductions from catchments</t>
  </si>
  <si>
    <t>Bid Assessment</t>
  </si>
  <si>
    <t>Action</t>
  </si>
  <si>
    <t>Enter identification number for each bid</t>
  </si>
  <si>
    <t>Enter other bid and property details as required</t>
  </si>
  <si>
    <t>Identify catchment that proposal is in</t>
  </si>
  <si>
    <t xml:space="preserve">Identify irrigation region </t>
  </si>
  <si>
    <t>Identify soil type</t>
  </si>
  <si>
    <t>identify irrigation method on farm (default values are for furrow)</t>
  </si>
  <si>
    <t>Identify production type (default values are for burnt cane)</t>
  </si>
  <si>
    <t>Overall score given from farm visit out of a possible 110 points</t>
  </si>
  <si>
    <t>Identify the types of storm water management action involved</t>
  </si>
  <si>
    <t>Identify the area of land draining past the changed structure or action</t>
  </si>
  <si>
    <t>Nitrogen application rate to crop</t>
  </si>
  <si>
    <t xml:space="preserve">Estimate the amount of N moving into ground water </t>
  </si>
  <si>
    <t xml:space="preserve">Estimate the amount of N moving into surface water </t>
  </si>
  <si>
    <t>Identify the rate of N in surface water movement</t>
  </si>
  <si>
    <t xml:space="preserve">Volume of structure </t>
  </si>
  <si>
    <t xml:space="preserve">Volume of standard rain event </t>
  </si>
  <si>
    <t xml:space="preserve">Make predictions about change in nitrogen leaving farm </t>
  </si>
  <si>
    <t>Assess the number of years that actions will continue for</t>
  </si>
  <si>
    <t>Identify proportional reduction from other factors - if none, set to '1'</t>
  </si>
  <si>
    <t>Target reduction in Nitrogen emissions from Burdekin catchment</t>
  </si>
  <si>
    <t>Target reduction in Nitrogen emissions from Haughton catchment</t>
  </si>
  <si>
    <t>Automatic calculation of the score against the target</t>
  </si>
  <si>
    <t>Verification issues</t>
  </si>
  <si>
    <t>Assess Environmental Benefits against bid value adjusting for verification</t>
  </si>
  <si>
    <t>Label</t>
  </si>
  <si>
    <t xml:space="preserve">Bid Number </t>
  </si>
  <si>
    <t>Property number</t>
  </si>
  <si>
    <t>River system</t>
  </si>
  <si>
    <t>Irrigation Region</t>
  </si>
  <si>
    <t>Soil Type</t>
  </si>
  <si>
    <t xml:space="preserve">Irrigation type </t>
  </si>
  <si>
    <t xml:space="preserve">Production type </t>
  </si>
  <si>
    <t>Bid amount</t>
  </si>
  <si>
    <t>Type of action</t>
  </si>
  <si>
    <t>Drainage area involved above the structure</t>
  </si>
  <si>
    <t>Adjustment factors for farming practices relative to ground water movement</t>
  </si>
  <si>
    <t>Adjustment factors for farming practices relative to surface water movement</t>
  </si>
  <si>
    <t>Amount of N (district average of 220 kg/ha application from Davis (2006))</t>
  </si>
  <si>
    <t>Capacity of structure</t>
  </si>
  <si>
    <t>Adjusted effectiveness</t>
  </si>
  <si>
    <t>Value = 1 for annual actions, to a maximum of 5 for more perment actions</t>
  </si>
  <si>
    <t>Environmental Benefits score</t>
  </si>
  <si>
    <t>Factors that may limit the extent to which landholders implement the management actions</t>
  </si>
  <si>
    <t>1 = Haughton / Baratta,    2 = Burdekin</t>
  </si>
  <si>
    <t>1 = BRIA, 2 = NBWB, 3 = SBWB</t>
  </si>
  <si>
    <t>1 = low permeability (clay), 2 = medium permeability (silt), 3 = high permeability (sand)</t>
  </si>
  <si>
    <t>Reduction in Atrazine at 900gr/l active constituent</t>
  </si>
  <si>
    <t>Reduction in Diuron at 900 kg/l active constituent</t>
  </si>
  <si>
    <t>Reduction in 2-4D at 625 gr/l active constituent</t>
  </si>
  <si>
    <t>soil Type</t>
  </si>
  <si>
    <t>g</t>
  </si>
  <si>
    <t>h</t>
  </si>
  <si>
    <t>k</t>
  </si>
  <si>
    <t>n</t>
  </si>
  <si>
    <t>kn</t>
  </si>
  <si>
    <t>1006(65)</t>
  </si>
  <si>
    <t>FLR/PLR, photo, invoices, monitoring sites</t>
  </si>
  <si>
    <t>old pit size</t>
  </si>
  <si>
    <t>recycle pit manual adjustment for effectiveness</t>
  </si>
  <si>
    <t>Capacity of structure - new</t>
  </si>
  <si>
    <t xml:space="preserve">5 = furrow,        6 = Centre pivot,       7 = trickle </t>
  </si>
  <si>
    <t xml:space="preserve">8 = normal,     9 = green cane trash blanketing </t>
  </si>
  <si>
    <t>$</t>
  </si>
  <si>
    <t>Enter summary description</t>
  </si>
  <si>
    <t>Give estimate of hectares</t>
  </si>
  <si>
    <t xml:space="preserve">Default is 1 - adjust to up to 15% reduction </t>
  </si>
  <si>
    <t>Adjust manually from farm visit sheets - see Fertiliser rate section</t>
  </si>
  <si>
    <t>Effectiveness of structure may need to be manually adjusted</t>
  </si>
  <si>
    <t>kg</t>
  </si>
  <si>
    <t>Set here with a default of 1</t>
  </si>
  <si>
    <t>Set here with a default value of 1</t>
  </si>
  <si>
    <t>Tons</t>
  </si>
  <si>
    <t>tons</t>
  </si>
  <si>
    <t xml:space="preserve">proportional contribution to target </t>
  </si>
  <si>
    <t>Take score from separate verification sheet</t>
  </si>
  <si>
    <t>Enter value</t>
  </si>
  <si>
    <t>kgs/ha</t>
  </si>
  <si>
    <t>kgs/ML/ha</t>
  </si>
  <si>
    <t>ML</t>
  </si>
  <si>
    <t>Each row represents a single bid in the auction.  Add more rows for more bids</t>
  </si>
  <si>
    <t>Is there are more accurate figure than 15%</t>
  </si>
  <si>
    <t>Use the overall farm visit score or water movement components?</t>
  </si>
  <si>
    <t>Perhaps allow N adjustment for different application techniques?</t>
  </si>
  <si>
    <t xml:space="preserve">Cane </t>
  </si>
  <si>
    <t>Cane</t>
  </si>
  <si>
    <t>Grazing</t>
  </si>
  <si>
    <t>stated prospoal plant</t>
  </si>
  <si>
    <t>stated proposal ratoon</t>
  </si>
  <si>
    <t>cane</t>
  </si>
  <si>
    <t>105a</t>
  </si>
  <si>
    <t>105b</t>
  </si>
  <si>
    <t>105c</t>
  </si>
  <si>
    <t>27a</t>
  </si>
  <si>
    <t>27b</t>
  </si>
  <si>
    <t>33a</t>
  </si>
  <si>
    <t>33b</t>
  </si>
  <si>
    <t>33c</t>
  </si>
  <si>
    <t>33d</t>
  </si>
  <si>
    <t>39a</t>
  </si>
  <si>
    <t>39c</t>
  </si>
  <si>
    <t>39d</t>
  </si>
  <si>
    <t>39e</t>
  </si>
  <si>
    <t>39f</t>
  </si>
  <si>
    <t>42a</t>
  </si>
  <si>
    <t>42b</t>
  </si>
  <si>
    <t>52a</t>
  </si>
  <si>
    <t>52b</t>
  </si>
  <si>
    <t>62a</t>
  </si>
  <si>
    <t>62b</t>
  </si>
  <si>
    <t>70a</t>
  </si>
  <si>
    <t>70b</t>
  </si>
  <si>
    <t>85a</t>
  </si>
  <si>
    <t>85b</t>
  </si>
  <si>
    <t>8a</t>
  </si>
  <si>
    <t>8b</t>
  </si>
  <si>
    <t>EoI No</t>
  </si>
  <si>
    <t>Name &amp; Signature</t>
  </si>
  <si>
    <t>Sector</t>
  </si>
  <si>
    <t>Total</t>
  </si>
  <si>
    <t>Contribute</t>
  </si>
  <si>
    <t>1-contribution/bid ratio</t>
  </si>
  <si>
    <t>Enter name of person/s submitting bid</t>
  </si>
  <si>
    <t>80a</t>
  </si>
  <si>
    <t>80b</t>
  </si>
  <si>
    <t>94b</t>
  </si>
  <si>
    <t>94c</t>
  </si>
  <si>
    <t>97a</t>
  </si>
  <si>
    <t>97b</t>
  </si>
  <si>
    <t>Recycle pit</t>
  </si>
  <si>
    <t>Legume Planter</t>
  </si>
  <si>
    <t>Recycle Pit</t>
  </si>
  <si>
    <t>catchment area</t>
  </si>
  <si>
    <t>pit size (ML)</t>
  </si>
  <si>
    <t>GPS unit</t>
  </si>
  <si>
    <t>Laser levelling</t>
  </si>
  <si>
    <t>Pipework</t>
  </si>
  <si>
    <t>Drain works</t>
  </si>
  <si>
    <t>Enviroscans</t>
  </si>
  <si>
    <t>Spinning wheel rake</t>
  </si>
  <si>
    <t>Hooded Sprayers</t>
  </si>
  <si>
    <t>lot number/s</t>
  </si>
  <si>
    <t>town</t>
  </si>
  <si>
    <t>Ayr</t>
  </si>
  <si>
    <t>Millaroo</t>
  </si>
  <si>
    <t>Brandon</t>
  </si>
  <si>
    <t>L1 RP735786, L3 SP113318</t>
  </si>
  <si>
    <t>Home Hill</t>
  </si>
  <si>
    <t>Centre Pivot</t>
  </si>
  <si>
    <t>L148 GL12475, L6 RP705528, Parish of Morrill L1 RP702278, L5 RP898772, L10 SP107843, L20-22 SP113307 Parish Antill</t>
  </si>
  <si>
    <t>Portable electric fencing</t>
  </si>
  <si>
    <t>Stool Splitter</t>
  </si>
  <si>
    <t>Drip Irrigation</t>
  </si>
  <si>
    <t>Strip trials</t>
  </si>
  <si>
    <t>Shielded Sprayer</t>
  </si>
  <si>
    <t>L8 RP 898773</t>
  </si>
  <si>
    <t>EM mapping</t>
  </si>
  <si>
    <t>Lateral move irrigator</t>
  </si>
  <si>
    <t>Stool Splitter and trash blanket</t>
  </si>
  <si>
    <t>L158 SP105722</t>
  </si>
  <si>
    <t>L19 EP2198</t>
  </si>
  <si>
    <t>L4 RP849601</t>
  </si>
  <si>
    <t>Recycle Pit upgrade</t>
  </si>
  <si>
    <t>Recycle pit extension</t>
  </si>
  <si>
    <t>GPS bedforming and harvest</t>
  </si>
  <si>
    <t>Em mapping, yield monitor and variable rate fert applicator</t>
  </si>
  <si>
    <t>Soy bean planter</t>
  </si>
  <si>
    <t>shielded sprayer</t>
  </si>
  <si>
    <t>laptop computer</t>
  </si>
  <si>
    <t>Weather Station</t>
  </si>
  <si>
    <t>Trickle irrigation</t>
  </si>
  <si>
    <t>GIS program add-on</t>
  </si>
  <si>
    <t>Satellite imagery</t>
  </si>
  <si>
    <t>pipe irrigation</t>
  </si>
  <si>
    <t>LANDHOLDER:</t>
  </si>
  <si>
    <t>8 (a or b)</t>
  </si>
  <si>
    <t>Future score</t>
  </si>
  <si>
    <r>
      <t>score</t>
    </r>
    <r>
      <rPr>
        <vertAlign val="subscript"/>
        <sz val="12"/>
        <rFont val="Arial"/>
        <family val="2"/>
      </rPr>
      <t xml:space="preserve">i </t>
    </r>
    <r>
      <rPr>
        <sz val="12"/>
        <rFont val="Arial"/>
        <family val="2"/>
      </rPr>
      <t>/ maxscore (future)</t>
    </r>
  </si>
  <si>
    <t xml:space="preserve">max score = </t>
  </si>
  <si>
    <t>Total score (current + future)</t>
  </si>
  <si>
    <t>Project parameters and description</t>
  </si>
  <si>
    <t>Recycling   pits</t>
  </si>
  <si>
    <t>What area will the recycle pit capture (ha)?</t>
  </si>
  <si>
    <t>230ha</t>
  </si>
  <si>
    <t>80ha</t>
  </si>
  <si>
    <t>55ha</t>
  </si>
  <si>
    <t>511 ha</t>
  </si>
  <si>
    <t>150 ha</t>
  </si>
  <si>
    <t>100ha</t>
  </si>
  <si>
    <t>250 ha</t>
  </si>
  <si>
    <t>153ha</t>
  </si>
  <si>
    <t>370ha</t>
  </si>
  <si>
    <t>20 ha</t>
  </si>
  <si>
    <t>350 ha</t>
  </si>
  <si>
    <t>3600 ha</t>
  </si>
  <si>
    <t>121 from 60</t>
  </si>
  <si>
    <t>90ha</t>
  </si>
  <si>
    <t>380 ha</t>
  </si>
  <si>
    <t>215 ha</t>
  </si>
  <si>
    <t>65ha</t>
  </si>
  <si>
    <t>270 acres</t>
  </si>
  <si>
    <t>3500ha</t>
  </si>
  <si>
    <t>240ha</t>
  </si>
  <si>
    <t>What size is the recycle pit?</t>
  </si>
  <si>
    <t>1.08ML</t>
  </si>
  <si>
    <t>4.8ML</t>
  </si>
  <si>
    <t>4.2ML</t>
  </si>
  <si>
    <t>225ML (it will be deepened by a metre)</t>
  </si>
  <si>
    <t>2.7ML</t>
  </si>
  <si>
    <t>30ML</t>
  </si>
  <si>
    <t>Pit 1; 22.5ML and   Pit 2; 16ML</t>
  </si>
  <si>
    <t>48ML</t>
  </si>
  <si>
    <t>60ML</t>
  </si>
  <si>
    <t>0.45ML also used as a soakage area for underground water</t>
  </si>
  <si>
    <t>.96ML</t>
  </si>
  <si>
    <t>70,80 kgallons/hr</t>
  </si>
  <si>
    <t>TBA</t>
  </si>
  <si>
    <t>9ML + 2ML</t>
  </si>
  <si>
    <t>5ML</t>
  </si>
  <si>
    <t>12ML</t>
  </si>
  <si>
    <t>360 ML</t>
  </si>
  <si>
    <t>Have e-mailed grower for this info</t>
  </si>
  <si>
    <t>350mX18m, approx 20ML (this must mean the pit is approximately 3m deep</t>
  </si>
  <si>
    <t>90 ML (increase to 110ML)</t>
  </si>
  <si>
    <t>10.44ML</t>
  </si>
  <si>
    <t>400ML</t>
  </si>
  <si>
    <t>6ML</t>
  </si>
  <si>
    <t>8-10ML from 5ML</t>
  </si>
  <si>
    <t>7ML</t>
  </si>
  <si>
    <t>8-10ML</t>
  </si>
  <si>
    <t>1.8ML</t>
  </si>
  <si>
    <t>3ML</t>
  </si>
  <si>
    <t>1.38ML</t>
  </si>
  <si>
    <t>4.68ML</t>
  </si>
  <si>
    <t>2ML</t>
  </si>
  <si>
    <t>15ML</t>
  </si>
  <si>
    <t>10ML to 18 ML</t>
  </si>
  <si>
    <t>10ML</t>
  </si>
  <si>
    <t>10.4ML</t>
  </si>
  <si>
    <t>160ML</t>
  </si>
  <si>
    <t>1.5ML</t>
  </si>
  <si>
    <t xml:space="preserve">What % of the area is cane land? </t>
  </si>
  <si>
    <t>100% with rotation with veges</t>
  </si>
  <si>
    <t>none - 100% grazing land</t>
  </si>
  <si>
    <t>What is the current rate of fertiliser application?  (kg/ha)</t>
  </si>
  <si>
    <t>Pollutant</t>
  </si>
  <si>
    <t>Nitrogen</t>
  </si>
  <si>
    <t>Pesticide</t>
  </si>
  <si>
    <t>Plant:</t>
  </si>
  <si>
    <t>N</t>
  </si>
  <si>
    <t>84-91</t>
  </si>
  <si>
    <t>152-174</t>
  </si>
  <si>
    <t>P</t>
  </si>
  <si>
    <t>94-101</t>
  </si>
  <si>
    <t>25-50</t>
  </si>
  <si>
    <t>K</t>
  </si>
  <si>
    <t>78-84</t>
  </si>
  <si>
    <t>93-128</t>
  </si>
  <si>
    <t>S</t>
  </si>
  <si>
    <t>7.5-8</t>
  </si>
  <si>
    <t>2-4</t>
  </si>
  <si>
    <t>NOTES</t>
  </si>
  <si>
    <t>Prescription Blends split</t>
  </si>
  <si>
    <t>no record</t>
  </si>
  <si>
    <t>Plus; 286kg Custom blend;  + K</t>
  </si>
  <si>
    <t xml:space="preserve">Plus 198kg terraphoska; </t>
  </si>
  <si>
    <t>Plus 250kg Dual 500?</t>
  </si>
  <si>
    <t>533 3bags ac, 1.5 bags fallow</t>
  </si>
  <si>
    <t>Ratoon:</t>
  </si>
  <si>
    <t>210-229</t>
  </si>
  <si>
    <t>174-188</t>
  </si>
  <si>
    <t>32-35</t>
  </si>
  <si>
    <t>47-52</t>
  </si>
  <si>
    <t>38-42</t>
  </si>
  <si>
    <t>17-19</t>
  </si>
  <si>
    <t>20-21</t>
  </si>
  <si>
    <t>Prescription Blends single</t>
  </si>
  <si>
    <t>750 leichardt S blend early ratoo, 650kg/ha later rattons</t>
  </si>
  <si>
    <t>future fertiliser application rates</t>
  </si>
  <si>
    <t>reduced by 60%</t>
  </si>
  <si>
    <t xml:space="preserve">Reduced fertilizer application due to effective beds. Reduce N rates by 11 to 125kg N at plant due to legume. </t>
  </si>
  <si>
    <t>I will soil test to determine the new rates</t>
  </si>
  <si>
    <t>Will reduce rates after legume</t>
  </si>
  <si>
    <t>soil and water test to determine new rates</t>
  </si>
  <si>
    <t>nil (after legumes)</t>
  </si>
  <si>
    <t>100L/ha Easy Pk, 100L/ha Easy N</t>
  </si>
  <si>
    <t>286kg custom blend, legumes</t>
  </si>
  <si>
    <t>182kgN (Urea)</t>
  </si>
  <si>
    <t>will reduce further after legumes</t>
  </si>
  <si>
    <t>23kgN; 7kg P; 40kg K; 20kg S</t>
  </si>
  <si>
    <t>Nil with legume</t>
  </si>
  <si>
    <t>27kgN; 30Kg P; 25Kg K; 2Kg S per hectare</t>
  </si>
  <si>
    <t>reduced after legumes</t>
  </si>
  <si>
    <t>100L/ha Easy N</t>
  </si>
  <si>
    <t>Pesticide applications</t>
  </si>
  <si>
    <t xml:space="preserve">What are the current types and rates of residual pesticide used? </t>
  </si>
  <si>
    <t>Atrazine .5kg /ha; Diuron -; 24D 0.7L/ha</t>
  </si>
  <si>
    <t>Atrazine 2.2kg/ha;Diuron .5kg/ha;                   2-4-D 900ml/ha</t>
  </si>
  <si>
    <t>2-4-D 900ml/ha</t>
  </si>
  <si>
    <t>Atrazine: 4L/ha, Diuron: 0-5L/ha, 24D: 1L/ha</t>
  </si>
  <si>
    <t>Atrazine 1kg/ha;Diuron .5kg/ha;                   2-4-D 1L/ha</t>
  </si>
  <si>
    <t>0.75L atrazine; 0.5 Diuron</t>
  </si>
  <si>
    <t>24D 1 litre per hectare; Diuron 250g per ha, Atrazine 2kg p/ha</t>
  </si>
  <si>
    <t>Atrazine 0.2 to 0.3 kg/ha; Diuron 0.7kg/ha; 24D 1L/ha</t>
  </si>
  <si>
    <t>2kg/ha atrazine; 2kg/ha 2-4-D</t>
  </si>
  <si>
    <t>0.5 kg/ha Diuro, Amieide 1-1.2L/ha</t>
  </si>
  <si>
    <t>Atrazine: 1-1.5 kg/ha, Diuron: 200g/ha</t>
  </si>
  <si>
    <t>Atrazine 1 to 1.5kgs per ha; Diuron 300g/hectare</t>
  </si>
  <si>
    <t>Diurex 0.4kg/ha; Atradex 0.5kg/ha - 2kg/ha; Baton 1kg/ha</t>
  </si>
  <si>
    <t>1.25kg atrazine;   0.5kg Diuron</t>
  </si>
  <si>
    <t>1kg atrazine;      0.5kg Diuron</t>
  </si>
  <si>
    <t>Atrazine .5kg/ha;  Diuron .5kg/ha;                   2-4-D 1L/ha</t>
  </si>
  <si>
    <t>Gesapax 7.5L/ha</t>
  </si>
  <si>
    <t>Atrazine 2.5kg plant; 1.5kg ratoon</t>
  </si>
  <si>
    <t>Atrazine 2kg/ha;  Diuron .5kg/ha;                   2-4-D 1L/ha</t>
  </si>
  <si>
    <t>1.2 Kg/ha Atrazine, 4 kg/ha Diuron, 1.2L/ha 24D</t>
  </si>
  <si>
    <t>400g/ha Atrazine, 400g/ha Diuron, 600g/ha 2-4-D</t>
  </si>
  <si>
    <t>500g/ha Atrazine, 600g/ha Diuron, 700g/ha 2-4-D (amicide)</t>
  </si>
  <si>
    <t>atrazine 1.5kg/ha; diuron 0.5kg/ha</t>
  </si>
  <si>
    <t>Ikg Baton and 2L ametryn</t>
  </si>
  <si>
    <t>Atrazine 0.5L/ha;     2-4-D    0.75L/ha MCPA</t>
  </si>
  <si>
    <t>3Kg/ha Atrazine, 0.75kg/ha Diuron, 1L/ha 2-4-D</t>
  </si>
  <si>
    <t>1L/ha Amicide</t>
  </si>
  <si>
    <t>Diuron as a spike: 300 to 600 g/ha</t>
  </si>
  <si>
    <t>2.5Kg/ha Atrazine, 1.2kg/ha Diuron, 1.2L/ha 2-4-D</t>
  </si>
  <si>
    <t>4.5L/ha Atrazine</t>
  </si>
  <si>
    <t>500g/ha Atrazine, 500g/ha Diuron, 2L/ha 2-4-D</t>
  </si>
  <si>
    <t>600g/ha Atrazine, 600g/ha Diuron, 1.2L/ha 2-4-D</t>
  </si>
  <si>
    <t>Atrazine 2.2kg/ha; Diuron 600g/ha; 24D MCPA @1.4L/ha</t>
  </si>
  <si>
    <t>Diuron 300g/ha;       2-4-D 1L/ha</t>
  </si>
  <si>
    <t>3kg/ha Atrazine, 1kg/ha Diuron,    1L/ha 2-4-D</t>
  </si>
  <si>
    <t>250g Diurex/ha as a spike and kg atradex per ha</t>
  </si>
  <si>
    <t>250g Diurex /ha as a spike, 1kg atradex per ha</t>
  </si>
  <si>
    <t>Diuron .25kg/ha;       2-4-D 1L/ha</t>
  </si>
  <si>
    <t>.25kg/ha Atrazine, .25kg/ha Diuron,    1L/ha 2-4-D</t>
  </si>
  <si>
    <t>.5kg/ha Diuron,    1L/ha 2-4-D</t>
  </si>
  <si>
    <t>.5L Atrazine/ha; .25L Diuron/ha; 1L 2-4-d/ha</t>
  </si>
  <si>
    <t>.5L Atrazine/ha; .6L Diuron/ha; .7L 2-4-D/ha</t>
  </si>
  <si>
    <t>.6L Atrazine/ha; 3L Diuron/ha; 1L 2-4-D/ha</t>
  </si>
  <si>
    <t>.5-.75L Atrazine/ha; 1L Diuron/ha;         2.6L 2-4-D/ha</t>
  </si>
  <si>
    <t>.5L Atrazine.ha; .3L Diuron/ha; 1L 2-4-D/ha</t>
  </si>
  <si>
    <t>1L 2-4-D/ha</t>
  </si>
  <si>
    <t>2.2L Diuron/ha; 1L 2-4-D/ha</t>
  </si>
  <si>
    <t>Pesticide - if no information in scoresheet about potential reduction, then assume 75 % reduction</t>
  </si>
  <si>
    <r>
      <t>Pesticide -</t>
    </r>
    <r>
      <rPr>
        <sz val="10"/>
        <color indexed="10"/>
        <rFont val="Arial"/>
        <family val="2"/>
      </rPr>
      <t xml:space="preserve"> have values from scoresheet</t>
    </r>
  </si>
  <si>
    <t xml:space="preserve">Reduction in Pesticide outputs to surface water </t>
  </si>
  <si>
    <t>Reduction in Atrazine at 1/20 active constituent</t>
  </si>
  <si>
    <t>Reduction in Diuron at 1/20th active constituent</t>
  </si>
  <si>
    <t>Reduction in 2-4D at 1/20th active constituent</t>
  </si>
  <si>
    <t>230 kg of export in flow event from Haughton and Barratta</t>
  </si>
  <si>
    <t>155 kg of export in flow event from Haughton and Barratta</t>
  </si>
  <si>
    <t>50 kg of export in flow event from Haughton and Barratta</t>
  </si>
  <si>
    <t>l/ha</t>
  </si>
  <si>
    <t>Assume double for Burdekin as well</t>
  </si>
  <si>
    <t>Estimated movement off farm in surface water</t>
  </si>
  <si>
    <t xml:space="preserve">Improving ground water, 5% improvement, 5 year capital </t>
  </si>
  <si>
    <t>Allow 75% reduction in N for plant cane over 20% of area, 2.5 years for capital works</t>
  </si>
  <si>
    <t>Landscaping lagoons to recharge acquifers</t>
  </si>
  <si>
    <r>
      <t xml:space="preserve">Changing effectiveness on recycle pit </t>
    </r>
    <r>
      <rPr>
        <sz val="10"/>
        <color indexed="10"/>
        <rFont val="Arial"/>
        <family val="2"/>
      </rPr>
      <t>(treated as extension)</t>
    </r>
  </si>
  <si>
    <t>1.6L Atrazine/ha; .2L Diuron/ha; .5kg Diuron/ha</t>
  </si>
  <si>
    <t xml:space="preserve">What will the practices change to? </t>
  </si>
  <si>
    <t>Atrazine 0; 24D 0.7L/ha</t>
  </si>
  <si>
    <t>With GPS controlled spraying we can eliminate overlap and reduce chemical applcations. Better placement and positiioning of chemical fertilizers</t>
  </si>
  <si>
    <t xml:space="preserve">Even beds, better water use and better water efficiency. Reduce erosion due to right size beds and correct placement of fertilizer. </t>
  </si>
  <si>
    <t>Will reduce if green trash blanketing is implemented</t>
  </si>
  <si>
    <t>control pesticides leaving farm on the entire area</t>
  </si>
  <si>
    <t>Atrazine 0; 24D the same</t>
  </si>
  <si>
    <t>moving away from residuals</t>
  </si>
  <si>
    <t>Atrazine -; Diuron -; 24D same</t>
  </si>
  <si>
    <t>Reduced N and reduced pesticides moving into the ocean</t>
  </si>
  <si>
    <t>legumes to be reduced; effective water control into waterways</t>
  </si>
  <si>
    <t>.6L Atrazine/ha; .6L Diuron/ha; 1L 2-4-D/ha</t>
  </si>
  <si>
    <t xml:space="preserve">RoundupCT 2.5L/ha; surpass .5L/ha; Diuron .5L/ha;         2-4-D .5L/ha </t>
  </si>
  <si>
    <t>all glyphosphate</t>
  </si>
  <si>
    <t>OK</t>
  </si>
  <si>
    <t>ok</t>
  </si>
  <si>
    <t>Current Plant:</t>
  </si>
  <si>
    <t>current Ratoon:</t>
  </si>
  <si>
    <t>Future Plant:</t>
  </si>
  <si>
    <t>future Ratoon:</t>
  </si>
  <si>
    <t>current pest</t>
  </si>
  <si>
    <t>future pest</t>
  </si>
  <si>
    <t>note: no bid proposals distinguish btween proposed reduction in plant/ratoon</t>
  </si>
  <si>
    <t xml:space="preserve">Proposed fertilizer use </t>
  </si>
  <si>
    <t>Additional fertilizer reductions weighted in metric</t>
  </si>
  <si>
    <t>Additional 20% weighting to account for trial of fertigation as well.</t>
  </si>
  <si>
    <t>Additional 20% weighting to account for fertilizer reduction with pivot.</t>
  </si>
  <si>
    <t>Additional 10% weighting for adoption of variable fertilizer rates</t>
  </si>
  <si>
    <t>extension of recycling system</t>
  </si>
  <si>
    <t>Bedformer</t>
  </si>
  <si>
    <t>1 = Haughton / Baratta,         2 = Burdekin</t>
  </si>
  <si>
    <t>1 = BRIA,          2 = NBWB,        3 = SBWB</t>
  </si>
  <si>
    <t>1 = low permeability (clay),                2 = medium permeability (silt),                 3 = high permeability (sand)</t>
  </si>
  <si>
    <t>Water management</t>
  </si>
  <si>
    <t>irrigation using cane recycled water</t>
  </si>
  <si>
    <t>Nutrient management nitrogen kilograms per hectare</t>
  </si>
  <si>
    <t>Capital description</t>
  </si>
  <si>
    <t>L23 SP 128464</t>
  </si>
  <si>
    <t>watering points/fencing</t>
  </si>
  <si>
    <t>spraying machinery</t>
  </si>
  <si>
    <t>overflow prevention</t>
  </si>
  <si>
    <t>Allow 5 - 10% reduction in N, 2.5 years for capital works</t>
  </si>
  <si>
    <t xml:space="preserve">changing effectiveness of water management, 5% improvement, 5 year capital </t>
  </si>
  <si>
    <t>either recycle pit (making existing one more effective -do we know the size?) or a water management project with set 5% effectiveness + 5 years capital works)</t>
  </si>
  <si>
    <t>Changing effectiveness on recycle pit</t>
  </si>
  <si>
    <t xml:space="preserve">changing effectiveness of water management, 5% improvement, 2.5 year capital </t>
  </si>
  <si>
    <t>GCTB - changing effectiveness of water management, 5% improve, 2.5 years capital</t>
  </si>
  <si>
    <t>Pesticide - if no information in scoresheet about potential reduction, then assume 25 % reduction</t>
  </si>
  <si>
    <t>changing effectiveness of water management, 50% improvement unless fertigation, 5 year capital ??</t>
  </si>
  <si>
    <t>Allow 15 - 25% reduction in N, 2.5 years for capital works</t>
  </si>
  <si>
    <t>average of 3/4 rate of N over 97 ha of trial area</t>
  </si>
  <si>
    <t>extension of effectiveness of recycle pit</t>
  </si>
  <si>
    <t>grazing bid</t>
  </si>
  <si>
    <t>Allow 10 - 20% reduction in N, 2.5 years for capital works, allow for up to 213 ha</t>
  </si>
  <si>
    <t>Allow 2 - 5% reduction in N, 2.5 years for capital works</t>
  </si>
  <si>
    <t>adaption for metric</t>
  </si>
  <si>
    <r>
      <t xml:space="preserve">Changing effectiveness on recycle pit </t>
    </r>
    <r>
      <rPr>
        <sz val="10"/>
        <color indexed="10"/>
        <rFont val="Arial"/>
        <family val="2"/>
      </rPr>
      <t>(share with other bid ?)</t>
    </r>
  </si>
  <si>
    <t xml:space="preserve">Observation </t>
  </si>
  <si>
    <t>Reference</t>
  </si>
  <si>
    <t xml:space="preserve">Conversion to GCTB is likely to improve soil organic matter and the nitrogen status of sugarcane soils and in the long term may enable reductions in nitrogen fertiliser application (Robertson, 2003). </t>
  </si>
  <si>
    <t>Data entry +BSES cell</t>
  </si>
  <si>
    <t xml:space="preserve">Weighting for future intentions score </t>
  </si>
  <si>
    <t>Name removed</t>
  </si>
  <si>
    <t>Name Removed</t>
  </si>
  <si>
    <t>Withdrawn</t>
  </si>
  <si>
    <t>Lot number removed</t>
  </si>
  <si>
    <t>No lot number supplied</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</si>
</sst>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
    <numFmt numFmtId="173" formatCode="0.0"/>
    <numFmt numFmtId="174" formatCode="0.000000"/>
    <numFmt numFmtId="175" formatCode="&quot;$&quot;#,##0"/>
    <numFmt numFmtId="176" formatCode="0.0%"/>
    <numFmt numFmtId="177" formatCode="&quot;Yes&quot;;&quot;Yes&quot;;&quot;No&quot;"/>
    <numFmt numFmtId="178" formatCode="&quot;True&quot;;&quot;True&quot;;&quot;False&quot;"/>
    <numFmt numFmtId="179" formatCode="&quot;On&quot;;&quot;On&quot;;&quot;Off&quot;"/>
    <numFmt numFmtId="180" formatCode="[$€-2]\ #,##0.00_);[Red]\([$€-2]\ #,##0.00\)"/>
    <numFmt numFmtId="181" formatCode="&quot;$&quot;#,##0.000000"/>
    <numFmt numFmtId="182" formatCode="[$-409]h:mm:ss\ AM/PM"/>
    <numFmt numFmtId="183" formatCode="0.0000"/>
    <numFmt numFmtId="184" formatCode="&quot;$&quot;#,##0.0000"/>
    <numFmt numFmtId="185" formatCode="&quot;$&quot;#,##0.00"/>
    <numFmt numFmtId="186" formatCode="[$-409]dddd\,\ mmmm\ dd\,\ yyyy"/>
    <numFmt numFmtId="187" formatCode="0.000E+00"/>
  </numFmts>
  <fonts count="69">
    <font>
      <sz val="10"/>
      <name val="Arial"/>
      <family val="0"/>
    </font>
    <font>
      <b/>
      <sz val="10"/>
      <name val="Arial"/>
      <family val="2"/>
    </font>
    <font>
      <b/>
      <sz val="12"/>
      <name val="Arial"/>
      <family val="2"/>
    </font>
    <font>
      <sz val="12"/>
      <name val="Arial"/>
      <family val="2"/>
    </font>
    <font>
      <sz val="9"/>
      <name val="Arial"/>
      <family val="2"/>
    </font>
    <font>
      <b/>
      <sz val="9"/>
      <name val="Arial"/>
      <family val="2"/>
    </font>
    <font>
      <sz val="10"/>
      <color indexed="10"/>
      <name val="Arial"/>
      <family val="2"/>
    </font>
    <font>
      <u val="single"/>
      <sz val="7.5"/>
      <color indexed="12"/>
      <name val="Arial"/>
      <family val="2"/>
    </font>
    <font>
      <u val="single"/>
      <sz val="7.5"/>
      <color indexed="36"/>
      <name val="Arial"/>
      <family val="2"/>
    </font>
    <font>
      <sz val="8"/>
      <name val="Arial"/>
      <family val="2"/>
    </font>
    <font>
      <sz val="12"/>
      <name val="Times New Roman"/>
      <family val="1"/>
    </font>
    <font>
      <sz val="12"/>
      <color indexed="10"/>
      <name val="Times New Roman"/>
      <family val="1"/>
    </font>
    <font>
      <i/>
      <sz val="12"/>
      <name val="Times New Roman"/>
      <family val="1"/>
    </font>
    <font>
      <sz val="11"/>
      <name val="Arial"/>
      <family val="2"/>
    </font>
    <font>
      <vertAlign val="superscript"/>
      <sz val="12"/>
      <name val="Times New Roman"/>
      <family val="1"/>
    </font>
    <font>
      <b/>
      <i/>
      <sz val="10"/>
      <name val="Arial"/>
      <family val="2"/>
    </font>
    <font>
      <b/>
      <i/>
      <sz val="12"/>
      <name val="Arial"/>
      <family val="2"/>
    </font>
    <font>
      <b/>
      <i/>
      <sz val="12"/>
      <color indexed="53"/>
      <name val="Arial"/>
      <family val="2"/>
    </font>
    <font>
      <vertAlign val="subscript"/>
      <sz val="12"/>
      <name val="Arial"/>
      <family val="2"/>
    </font>
    <font>
      <i/>
      <sz val="10"/>
      <name val="Arial"/>
      <family val="2"/>
    </font>
    <font>
      <b/>
      <sz val="8"/>
      <color indexed="8"/>
      <name val="Tahoma"/>
      <family val="2"/>
    </font>
    <font>
      <sz val="8"/>
      <color indexed="8"/>
      <name val="Tahoma"/>
      <family val="2"/>
    </font>
    <font>
      <sz val="11"/>
      <color indexed="8"/>
      <name val="Calibri"/>
      <family val="2"/>
    </font>
    <font>
      <sz val="8"/>
      <name val="Tahoma"/>
      <family val="2"/>
    </font>
    <font>
      <b/>
      <sz val="8"/>
      <name val="Tahoma"/>
      <family val="2"/>
    </font>
    <font>
      <sz val="8"/>
      <color indexed="10"/>
      <name val="Tahoma"/>
      <family val="2"/>
    </font>
    <font>
      <b/>
      <sz val="11"/>
      <color indexed="8"/>
      <name val="Calibri"/>
      <family val="2"/>
    </font>
    <font>
      <sz val="18"/>
      <name val="Arial"/>
      <family val="2"/>
    </font>
    <font>
      <sz val="10"/>
      <color indexed="8"/>
      <name val="Arial"/>
      <family val="2"/>
    </font>
    <font>
      <b/>
      <sz val="12"/>
      <color indexed="53"/>
      <name val="Arial"/>
      <family val="2"/>
    </font>
    <font>
      <b/>
      <sz val="12"/>
      <color indexed="9"/>
      <name val="Arial"/>
      <family val="2"/>
    </font>
    <font>
      <b/>
      <sz val="11"/>
      <name val="Arial"/>
      <family val="2"/>
    </font>
    <font>
      <b/>
      <sz val="10"/>
      <color indexed="9"/>
      <name val="Arial"/>
      <family val="2"/>
    </font>
    <font>
      <b/>
      <sz val="10"/>
      <color indexed="53"/>
      <name val="Arial"/>
      <family val="2"/>
    </font>
    <font>
      <b/>
      <sz val="10"/>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5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6"/>
        <bgColor indexed="64"/>
      </patternFill>
    </fill>
    <fill>
      <patternFill patternType="solid">
        <fgColor indexed="14"/>
        <bgColor indexed="64"/>
      </patternFill>
    </fill>
    <fill>
      <patternFill patternType="solid">
        <fgColor indexed="12"/>
        <bgColor indexed="64"/>
      </patternFill>
    </fill>
    <fill>
      <patternFill patternType="solid">
        <fgColor indexed="41"/>
        <bgColor indexed="64"/>
      </patternFill>
    </fill>
    <fill>
      <patternFill patternType="solid">
        <fgColor indexed="50"/>
        <bgColor indexed="64"/>
      </patternFill>
    </fill>
    <fill>
      <patternFill patternType="solid">
        <fgColor indexed="42"/>
        <bgColor indexed="64"/>
      </patternFill>
    </fill>
    <fill>
      <patternFill patternType="solid">
        <fgColor indexed="45"/>
        <bgColor indexed="64"/>
      </patternFill>
    </fill>
    <fill>
      <patternFill patternType="solid">
        <fgColor indexed="47"/>
        <bgColor indexed="64"/>
      </patternFill>
    </fill>
    <fill>
      <patternFill patternType="solid">
        <fgColor indexed="51"/>
        <bgColor indexed="64"/>
      </patternFill>
    </fill>
    <fill>
      <patternFill patternType="solid">
        <fgColor indexed="43"/>
        <bgColor indexed="64"/>
      </patternFill>
    </fill>
    <fill>
      <patternFill patternType="solid">
        <fgColor indexed="44"/>
        <bgColor indexed="64"/>
      </patternFill>
    </fill>
    <fill>
      <patternFill patternType="solid">
        <fgColor indexed="57"/>
        <bgColor indexed="64"/>
      </patternFill>
    </fill>
    <fill>
      <patternFill patternType="solid">
        <fgColor indexed="22"/>
        <bgColor indexed="64"/>
      </patternFill>
    </fill>
    <fill>
      <patternFill patternType="solid">
        <fgColor indexed="49"/>
        <bgColor indexed="64"/>
      </patternFill>
    </fill>
    <fill>
      <patternFill patternType="solid">
        <fgColor indexed="9"/>
        <bgColor indexed="64"/>
      </patternFill>
    </fill>
    <fill>
      <patternFill patternType="solid">
        <fgColor indexed="55"/>
        <bgColor indexed="64"/>
      </patternFill>
    </fill>
    <fill>
      <patternFill patternType="solid">
        <fgColor indexed="27"/>
        <bgColor indexed="64"/>
      </patternFill>
    </fill>
    <fill>
      <patternFill patternType="solid">
        <fgColor indexed="52"/>
        <bgColor indexed="64"/>
      </patternFill>
    </fill>
    <fill>
      <patternFill patternType="solid">
        <fgColor indexed="10"/>
        <bgColor indexed="64"/>
      </patternFill>
    </fill>
    <fill>
      <patternFill patternType="solid">
        <fgColor indexed="63"/>
        <bgColor indexed="64"/>
      </patternFill>
    </fill>
    <fill>
      <patternFill patternType="solid">
        <fgColor indexed="29"/>
        <bgColor indexed="64"/>
      </patternFill>
    </fill>
    <fill>
      <patternFill patternType="solid">
        <fgColor indexed="11"/>
        <bgColor indexed="64"/>
      </patternFill>
    </fill>
    <fill>
      <patternFill patternType="solid">
        <fgColor indexed="53"/>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color indexed="63"/>
      </bottom>
    </border>
    <border>
      <left>
        <color indexed="63"/>
      </left>
      <right style="medium"/>
      <top>
        <color indexed="63"/>
      </top>
      <bottom style="medium"/>
    </border>
    <border>
      <left style="medium"/>
      <right style="medium"/>
      <top>
        <color indexed="63"/>
      </top>
      <bottom style="medium"/>
    </border>
    <border>
      <left>
        <color indexed="63"/>
      </left>
      <right>
        <color indexed="63"/>
      </right>
      <top>
        <color indexed="63"/>
      </top>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style="medium"/>
    </border>
    <border>
      <left>
        <color indexed="63"/>
      </left>
      <right>
        <color indexed="63"/>
      </right>
      <top style="thin">
        <color indexed="63"/>
      </top>
      <bottom style="medium">
        <color indexed="63"/>
      </bottom>
    </border>
    <border>
      <left>
        <color indexed="63"/>
      </left>
      <right>
        <color indexed="63"/>
      </right>
      <top>
        <color indexed="63"/>
      </top>
      <bottom style="medium"/>
    </border>
    <border>
      <left>
        <color indexed="63"/>
      </left>
      <right>
        <color indexed="63"/>
      </right>
      <top>
        <color indexed="63"/>
      </top>
      <bottom style="medium">
        <color indexed="63"/>
      </bottom>
    </border>
    <border>
      <left style="medium"/>
      <right>
        <color indexed="63"/>
      </right>
      <top style="medium"/>
      <bottom style="medium"/>
    </border>
    <border>
      <left>
        <color indexed="63"/>
      </left>
      <right style="medium"/>
      <top style="medium"/>
      <bottom style="medium"/>
    </border>
    <border>
      <left>
        <color indexed="63"/>
      </left>
      <right style="medium"/>
      <top>
        <color indexed="63"/>
      </top>
      <bottom>
        <color indexed="63"/>
      </bottom>
    </border>
    <border>
      <left>
        <color indexed="63"/>
      </left>
      <right>
        <color indexed="63"/>
      </right>
      <top style="medium"/>
      <bottom style="medium"/>
    </border>
    <border>
      <left style="medium"/>
      <right style="medium"/>
      <top style="medium"/>
      <bottom>
        <color indexed="63"/>
      </bottom>
    </border>
  </borders>
  <cellStyleXfs count="13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8"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7" fillId="0" borderId="0" applyNumberFormat="0" applyFill="0" applyBorder="0" applyAlignment="0" applyProtection="0"/>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0" fillId="0" borderId="0">
      <alignment/>
      <protection/>
    </xf>
    <xf numFmtId="0" fontId="0" fillId="0" borderId="0">
      <alignment/>
      <protection/>
    </xf>
    <xf numFmtId="0" fontId="5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22" fillId="32" borderId="7" applyNumberFormat="0" applyFont="0" applyAlignment="0" applyProtection="0"/>
    <xf numFmtId="0" fontId="22" fillId="32" borderId="7" applyNumberFormat="0" applyFont="0" applyAlignment="0" applyProtection="0"/>
    <xf numFmtId="0" fontId="22" fillId="32" borderId="7" applyNumberFormat="0" applyFont="0" applyAlignment="0" applyProtection="0"/>
    <xf numFmtId="0" fontId="22" fillId="32" borderId="7" applyNumberFormat="0" applyFont="0" applyAlignment="0" applyProtection="0"/>
    <xf numFmtId="0" fontId="22" fillId="32" borderId="7" applyNumberFormat="0" applyFont="0" applyAlignment="0" applyProtection="0"/>
    <xf numFmtId="0" fontId="22" fillId="32" borderId="7" applyNumberFormat="0" applyFont="0" applyAlignment="0" applyProtection="0"/>
    <xf numFmtId="0" fontId="22" fillId="32" borderId="7" applyNumberFormat="0" applyFont="0" applyAlignment="0" applyProtection="0"/>
    <xf numFmtId="0" fontId="22" fillId="32" borderId="7" applyNumberFormat="0" applyFont="0" applyAlignment="0" applyProtection="0"/>
    <xf numFmtId="0" fontId="22" fillId="32" borderId="7" applyNumberFormat="0" applyFont="0" applyAlignment="0" applyProtection="0"/>
    <xf numFmtId="0" fontId="22" fillId="32" borderId="7" applyNumberFormat="0" applyFont="0" applyAlignment="0" applyProtection="0"/>
    <xf numFmtId="0" fontId="22" fillId="32" borderId="7" applyNumberFormat="0" applyFont="0" applyAlignment="0" applyProtection="0"/>
    <xf numFmtId="0" fontId="22" fillId="32" borderId="7" applyNumberFormat="0" applyFont="0" applyAlignment="0" applyProtection="0"/>
    <xf numFmtId="0" fontId="22" fillId="32" borderId="7" applyNumberFormat="0" applyFont="0" applyAlignment="0" applyProtection="0"/>
    <xf numFmtId="0" fontId="22" fillId="32" borderId="7" applyNumberFormat="0" applyFont="0" applyAlignment="0" applyProtection="0"/>
    <xf numFmtId="0" fontId="22" fillId="32" borderId="7" applyNumberFormat="0" applyFont="0" applyAlignment="0" applyProtection="0"/>
    <xf numFmtId="0" fontId="22" fillId="32" borderId="7" applyNumberFormat="0" applyFont="0" applyAlignment="0" applyProtection="0"/>
    <xf numFmtId="0" fontId="22" fillId="32" borderId="7" applyNumberFormat="0" applyFont="0" applyAlignment="0" applyProtection="0"/>
    <xf numFmtId="0" fontId="22" fillId="32" borderId="7" applyNumberFormat="0" applyFont="0" applyAlignment="0" applyProtection="0"/>
    <xf numFmtId="0" fontId="22" fillId="32" borderId="7" applyNumberFormat="0" applyFont="0" applyAlignment="0" applyProtection="0"/>
    <xf numFmtId="0" fontId="22" fillId="32" borderId="7" applyNumberFormat="0" applyFont="0" applyAlignment="0" applyProtection="0"/>
    <xf numFmtId="0" fontId="64"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839">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0" fillId="37" borderId="0" xfId="0" applyFill="1" applyAlignment="1">
      <alignment/>
    </xf>
    <xf numFmtId="0" fontId="0" fillId="38" borderId="0" xfId="0" applyFill="1" applyAlignment="1">
      <alignment/>
    </xf>
    <xf numFmtId="0" fontId="1" fillId="0" borderId="0" xfId="0" applyFont="1" applyAlignment="1">
      <alignment wrapText="1"/>
    </xf>
    <xf numFmtId="0" fontId="0" fillId="0" borderId="0" xfId="0" applyAlignment="1">
      <alignment horizontal="center"/>
    </xf>
    <xf numFmtId="0" fontId="2" fillId="0" borderId="0" xfId="0" applyFont="1" applyFill="1" applyAlignment="1">
      <alignment horizontal="center" wrapText="1"/>
    </xf>
    <xf numFmtId="0" fontId="3" fillId="0" borderId="0" xfId="0" applyFont="1" applyFill="1" applyAlignment="1">
      <alignment horizontal="center" wrapText="1"/>
    </xf>
    <xf numFmtId="0" fontId="2" fillId="0" borderId="0" xfId="0" applyFont="1" applyAlignment="1">
      <alignment horizontal="center"/>
    </xf>
    <xf numFmtId="0" fontId="2" fillId="0" borderId="0" xfId="0" applyFont="1" applyAlignment="1">
      <alignment horizontal="center" wrapText="1"/>
    </xf>
    <xf numFmtId="0" fontId="1" fillId="0" borderId="0" xfId="0" applyFont="1" applyFill="1" applyAlignment="1">
      <alignment wrapText="1"/>
    </xf>
    <xf numFmtId="0" fontId="0" fillId="0" borderId="0" xfId="0" applyAlignment="1">
      <alignment horizontal="center" wrapText="1"/>
    </xf>
    <xf numFmtId="0" fontId="0" fillId="0" borderId="0" xfId="0" applyAlignment="1">
      <alignment wrapText="1"/>
    </xf>
    <xf numFmtId="0" fontId="0" fillId="33" borderId="0" xfId="0" applyFill="1" applyAlignment="1">
      <alignment wrapText="1"/>
    </xf>
    <xf numFmtId="0" fontId="0" fillId="33" borderId="0" xfId="0" applyFont="1" applyFill="1" applyAlignment="1">
      <alignment wrapText="1"/>
    </xf>
    <xf numFmtId="49" fontId="4" fillId="33" borderId="0" xfId="0" applyNumberFormat="1" applyFont="1" applyFill="1" applyAlignment="1">
      <alignment wrapText="1"/>
    </xf>
    <xf numFmtId="0" fontId="0" fillId="0" borderId="0" xfId="0" applyFill="1" applyAlignment="1">
      <alignment wrapText="1"/>
    </xf>
    <xf numFmtId="0" fontId="4" fillId="0" borderId="0" xfId="0" applyFont="1" applyAlignment="1">
      <alignment/>
    </xf>
    <xf numFmtId="0" fontId="5" fillId="0" borderId="0" xfId="0" applyFont="1" applyAlignment="1">
      <alignment wrapText="1"/>
    </xf>
    <xf numFmtId="49" fontId="5" fillId="0" borderId="0" xfId="0" applyNumberFormat="1" applyFont="1" applyAlignment="1">
      <alignment wrapText="1"/>
    </xf>
    <xf numFmtId="49" fontId="4" fillId="0" borderId="0" xfId="0" applyNumberFormat="1" applyFont="1" applyAlignment="1">
      <alignment wrapText="1"/>
    </xf>
    <xf numFmtId="0" fontId="4" fillId="0" borderId="0" xfId="0" applyFont="1" applyAlignment="1">
      <alignment/>
    </xf>
    <xf numFmtId="49" fontId="4" fillId="0" borderId="0" xfId="0" applyNumberFormat="1" applyFont="1" applyAlignment="1">
      <alignment wrapText="1"/>
    </xf>
    <xf numFmtId="0" fontId="4" fillId="0" borderId="0" xfId="0" applyFont="1" applyAlignment="1">
      <alignment wrapText="1"/>
    </xf>
    <xf numFmtId="0" fontId="4" fillId="0" borderId="0" xfId="0" applyFont="1" applyAlignment="1">
      <alignment horizontal="center" wrapText="1"/>
    </xf>
    <xf numFmtId="49" fontId="1" fillId="0" borderId="0" xfId="0" applyNumberFormat="1" applyFont="1" applyAlignment="1">
      <alignment wrapText="1"/>
    </xf>
    <xf numFmtId="49" fontId="1" fillId="0" borderId="0" xfId="0" applyNumberFormat="1" applyFont="1" applyAlignment="1">
      <alignment horizontal="center" wrapText="1"/>
    </xf>
    <xf numFmtId="172" fontId="0" fillId="0" borderId="0" xfId="0" applyNumberFormat="1" applyFill="1" applyAlignment="1">
      <alignment/>
    </xf>
    <xf numFmtId="49" fontId="0" fillId="0" borderId="0" xfId="0" applyNumberFormat="1" applyAlignment="1">
      <alignment wrapText="1"/>
    </xf>
    <xf numFmtId="172" fontId="0" fillId="33" borderId="0" xfId="0" applyNumberFormat="1" applyFill="1" applyAlignment="1">
      <alignment wrapText="1"/>
    </xf>
    <xf numFmtId="172" fontId="0" fillId="34" borderId="0" xfId="0" applyNumberFormat="1" applyFill="1" applyAlignment="1">
      <alignment/>
    </xf>
    <xf numFmtId="1" fontId="0" fillId="34" borderId="0" xfId="0" applyNumberFormat="1" applyFill="1" applyAlignment="1">
      <alignment wrapText="1"/>
    </xf>
    <xf numFmtId="1" fontId="0" fillId="38" borderId="0" xfId="0" applyNumberFormat="1" applyFill="1" applyAlignment="1">
      <alignment wrapText="1"/>
    </xf>
    <xf numFmtId="173" fontId="0" fillId="38" borderId="0" xfId="0" applyNumberFormat="1" applyFill="1" applyAlignment="1">
      <alignment wrapText="1"/>
    </xf>
    <xf numFmtId="173" fontId="0" fillId="37" borderId="0" xfId="0" applyNumberFormat="1" applyFill="1" applyAlignment="1">
      <alignment wrapText="1"/>
    </xf>
    <xf numFmtId="172" fontId="0" fillId="38" borderId="0" xfId="0" applyNumberFormat="1" applyFill="1" applyAlignment="1">
      <alignment/>
    </xf>
    <xf numFmtId="172" fontId="0" fillId="35" borderId="0" xfId="0" applyNumberFormat="1" applyFill="1" applyAlignment="1">
      <alignment/>
    </xf>
    <xf numFmtId="172" fontId="0" fillId="37" borderId="0" xfId="0" applyNumberFormat="1" applyFill="1" applyAlignment="1">
      <alignment/>
    </xf>
    <xf numFmtId="1" fontId="0" fillId="36" borderId="0" xfId="0" applyNumberFormat="1" applyFill="1" applyAlignment="1">
      <alignment wrapText="1"/>
    </xf>
    <xf numFmtId="174" fontId="0" fillId="38" borderId="0" xfId="0" applyNumberFormat="1" applyFill="1" applyAlignment="1">
      <alignment wrapText="1"/>
    </xf>
    <xf numFmtId="172" fontId="0" fillId="38" borderId="0" xfId="0" applyNumberFormat="1" applyFill="1" applyAlignment="1">
      <alignment wrapText="1"/>
    </xf>
    <xf numFmtId="172" fontId="0" fillId="0" borderId="0" xfId="0" applyNumberFormat="1" applyAlignment="1">
      <alignment wrapText="1"/>
    </xf>
    <xf numFmtId="0" fontId="0" fillId="33" borderId="0" xfId="0" applyFill="1" applyAlignment="1">
      <alignment/>
    </xf>
    <xf numFmtId="172" fontId="0" fillId="0" borderId="0" xfId="0" applyNumberFormat="1" applyAlignment="1">
      <alignment/>
    </xf>
    <xf numFmtId="0" fontId="6" fillId="0" borderId="0" xfId="0" applyFont="1" applyAlignment="1">
      <alignment/>
    </xf>
    <xf numFmtId="0" fontId="6" fillId="0" borderId="0" xfId="0" applyFont="1" applyAlignment="1">
      <alignment/>
    </xf>
    <xf numFmtId="0" fontId="0" fillId="0" borderId="0" xfId="0" applyAlignment="1" applyProtection="1">
      <alignment/>
      <protection locked="0"/>
    </xf>
    <xf numFmtId="0" fontId="0" fillId="0" borderId="0" xfId="0" applyAlignment="1">
      <alignment horizontal="right"/>
    </xf>
    <xf numFmtId="0" fontId="0" fillId="0" borderId="0" xfId="0" applyFill="1" applyAlignment="1">
      <alignment/>
    </xf>
    <xf numFmtId="0" fontId="0" fillId="0" borderId="0" xfId="0" applyFill="1" applyAlignment="1">
      <alignment horizontal="right"/>
    </xf>
    <xf numFmtId="0" fontId="0" fillId="39" borderId="0" xfId="0" applyFill="1" applyAlignment="1" applyProtection="1">
      <alignment/>
      <protection locked="0"/>
    </xf>
    <xf numFmtId="175" fontId="0" fillId="39" borderId="0" xfId="0" applyNumberFormat="1" applyFill="1" applyAlignment="1" applyProtection="1">
      <alignment/>
      <protection locked="0"/>
    </xf>
    <xf numFmtId="0" fontId="0" fillId="39" borderId="0" xfId="0" applyFill="1" applyAlignment="1" applyProtection="1">
      <alignment wrapText="1"/>
      <protection locked="0"/>
    </xf>
    <xf numFmtId="175" fontId="0" fillId="39" borderId="0" xfId="0" applyNumberFormat="1" applyFill="1" applyAlignment="1" applyProtection="1">
      <alignment wrapText="1"/>
      <protection locked="0"/>
    </xf>
    <xf numFmtId="0" fontId="0" fillId="40" borderId="0" xfId="0" applyFill="1" applyAlignment="1">
      <alignment wrapText="1"/>
    </xf>
    <xf numFmtId="1" fontId="0" fillId="34" borderId="0" xfId="0" applyNumberFormat="1" applyFill="1" applyAlignment="1">
      <alignment/>
    </xf>
    <xf numFmtId="172" fontId="0" fillId="35" borderId="0" xfId="0" applyNumberFormat="1" applyFill="1" applyAlignment="1">
      <alignment wrapText="1"/>
    </xf>
    <xf numFmtId="2" fontId="0" fillId="35" borderId="0" xfId="0" applyNumberFormat="1" applyFill="1" applyAlignment="1">
      <alignment wrapText="1"/>
    </xf>
    <xf numFmtId="2" fontId="0" fillId="0" borderId="0" xfId="0" applyNumberFormat="1" applyAlignment="1">
      <alignment/>
    </xf>
    <xf numFmtId="1" fontId="0" fillId="0" borderId="0" xfId="0" applyNumberFormat="1" applyFill="1" applyAlignment="1">
      <alignment/>
    </xf>
    <xf numFmtId="1" fontId="0" fillId="33" borderId="0" xfId="0" applyNumberFormat="1" applyFill="1" applyAlignment="1">
      <alignment horizontal="right" wrapText="1"/>
    </xf>
    <xf numFmtId="1" fontId="0" fillId="34" borderId="0" xfId="0" applyNumberFormat="1" applyFill="1" applyAlignment="1">
      <alignment horizontal="right"/>
    </xf>
    <xf numFmtId="172" fontId="0" fillId="34" borderId="0" xfId="0" applyNumberFormat="1" applyFill="1" applyAlignment="1">
      <alignment horizontal="right"/>
    </xf>
    <xf numFmtId="1" fontId="0" fillId="34" borderId="0" xfId="0" applyNumberFormat="1" applyFill="1" applyAlignment="1">
      <alignment horizontal="right" wrapText="1"/>
    </xf>
    <xf numFmtId="0" fontId="0" fillId="40" borderId="0" xfId="0" applyFill="1" applyAlignment="1">
      <alignment/>
    </xf>
    <xf numFmtId="1" fontId="0" fillId="0" borderId="0" xfId="0" applyNumberFormat="1" applyFill="1" applyAlignment="1">
      <alignment horizontal="right" wrapText="1"/>
    </xf>
    <xf numFmtId="1" fontId="0" fillId="0" borderId="0" xfId="0" applyNumberFormat="1" applyFill="1" applyAlignment="1">
      <alignment horizontal="right"/>
    </xf>
    <xf numFmtId="172" fontId="0" fillId="0" borderId="0" xfId="0" applyNumberFormat="1" applyFill="1" applyAlignment="1">
      <alignment horizontal="right"/>
    </xf>
    <xf numFmtId="9" fontId="0" fillId="34" borderId="0" xfId="0" applyNumberFormat="1" applyFill="1" applyAlignment="1">
      <alignment horizontal="right" wrapText="1"/>
    </xf>
    <xf numFmtId="172" fontId="0" fillId="0" borderId="0" xfId="0" applyNumberFormat="1" applyFill="1" applyAlignment="1">
      <alignment wrapText="1"/>
    </xf>
    <xf numFmtId="0" fontId="1" fillId="41" borderId="10" xfId="0" applyFont="1" applyFill="1" applyBorder="1" applyAlignment="1">
      <alignment wrapText="1"/>
    </xf>
    <xf numFmtId="49" fontId="0" fillId="42" borderId="11" xfId="0" applyNumberFormat="1" applyFont="1" applyFill="1" applyBorder="1" applyAlignment="1">
      <alignment horizontal="center" wrapText="1"/>
    </xf>
    <xf numFmtId="0" fontId="1" fillId="41" borderId="12" xfId="0" applyFont="1" applyFill="1" applyBorder="1" applyAlignment="1">
      <alignment horizontal="center" wrapText="1"/>
    </xf>
    <xf numFmtId="0" fontId="0" fillId="42" borderId="0" xfId="0" applyFill="1" applyAlignment="1">
      <alignment/>
    </xf>
    <xf numFmtId="1" fontId="0" fillId="42" borderId="0" xfId="0" applyNumberFormat="1" applyFill="1" applyAlignment="1">
      <alignment/>
    </xf>
    <xf numFmtId="2" fontId="0" fillId="37" borderId="0" xfId="0" applyNumberFormat="1" applyFill="1" applyAlignment="1">
      <alignment/>
    </xf>
    <xf numFmtId="0" fontId="0" fillId="0" borderId="0" xfId="0" applyFill="1" applyBorder="1" applyAlignment="1">
      <alignment horizontal="center" wrapText="1"/>
    </xf>
    <xf numFmtId="49" fontId="0" fillId="0" borderId="0" xfId="0" applyNumberFormat="1" applyFont="1" applyFill="1" applyBorder="1" applyAlignment="1">
      <alignment horizontal="center" wrapText="1"/>
    </xf>
    <xf numFmtId="0" fontId="0" fillId="0" borderId="0" xfId="0" applyFill="1" applyBorder="1" applyAlignment="1">
      <alignment wrapText="1"/>
    </xf>
    <xf numFmtId="0" fontId="0" fillId="0" borderId="0" xfId="0" applyFill="1" applyBorder="1" applyAlignment="1">
      <alignment/>
    </xf>
    <xf numFmtId="0" fontId="0" fillId="43" borderId="0" xfId="0" applyFill="1" applyAlignment="1">
      <alignment wrapText="1"/>
    </xf>
    <xf numFmtId="0" fontId="0" fillId="0" borderId="0" xfId="0" applyNumberFormat="1" applyAlignment="1">
      <alignment wrapText="1"/>
    </xf>
    <xf numFmtId="0" fontId="0" fillId="41" borderId="0" xfId="0" applyNumberFormat="1" applyFill="1" applyAlignment="1" applyProtection="1">
      <alignment wrapText="1"/>
      <protection locked="0"/>
    </xf>
    <xf numFmtId="0" fontId="10" fillId="0" borderId="0" xfId="0" applyFont="1" applyAlignment="1">
      <alignment wrapText="1"/>
    </xf>
    <xf numFmtId="0" fontId="10" fillId="0" borderId="0" xfId="0" applyFont="1" applyAlignment="1">
      <alignment horizontal="left" wrapText="1"/>
    </xf>
    <xf numFmtId="0" fontId="10" fillId="0" borderId="0" xfId="0" applyNumberFormat="1" applyFont="1" applyAlignment="1">
      <alignment wrapText="1"/>
    </xf>
    <xf numFmtId="0" fontId="10" fillId="0" borderId="0" xfId="0" applyFont="1" applyAlignment="1">
      <alignment horizontal="left" wrapText="1" indent="4"/>
    </xf>
    <xf numFmtId="0" fontId="1" fillId="33" borderId="0" xfId="0" applyFont="1" applyFill="1" applyAlignment="1">
      <alignment wrapText="1"/>
    </xf>
    <xf numFmtId="173" fontId="0" fillId="36" borderId="0" xfId="0" applyNumberFormat="1" applyFill="1" applyAlignment="1">
      <alignment/>
    </xf>
    <xf numFmtId="2" fontId="0" fillId="34" borderId="0" xfId="0" applyNumberFormat="1" applyFill="1" applyAlignment="1">
      <alignment wrapText="1"/>
    </xf>
    <xf numFmtId="1" fontId="0" fillId="44" borderId="0" xfId="0" applyNumberFormat="1" applyFill="1" applyAlignment="1">
      <alignment wrapText="1"/>
    </xf>
    <xf numFmtId="172" fontId="0" fillId="45" borderId="0" xfId="0" applyNumberFormat="1" applyFill="1" applyAlignment="1">
      <alignment wrapText="1"/>
    </xf>
    <xf numFmtId="0" fontId="13" fillId="46" borderId="13" xfId="0" applyFont="1" applyFill="1" applyBorder="1" applyAlignment="1">
      <alignment horizontal="center" wrapText="1"/>
    </xf>
    <xf numFmtId="0" fontId="13" fillId="0" borderId="14" xfId="0" applyFont="1" applyBorder="1" applyAlignment="1">
      <alignment wrapText="1"/>
    </xf>
    <xf numFmtId="9" fontId="13" fillId="0" borderId="13" xfId="0" applyNumberFormat="1" applyFont="1" applyBorder="1" applyAlignment="1">
      <alignment horizontal="center" wrapText="1"/>
    </xf>
    <xf numFmtId="0" fontId="13" fillId="0" borderId="13" xfId="0" applyFont="1" applyBorder="1" applyAlignment="1">
      <alignment horizontal="center" wrapText="1"/>
    </xf>
    <xf numFmtId="0" fontId="0" fillId="46" borderId="13" xfId="0" applyFont="1" applyFill="1" applyBorder="1" applyAlignment="1">
      <alignment horizontal="center" wrapText="1"/>
    </xf>
    <xf numFmtId="0" fontId="0" fillId="0" borderId="14" xfId="0" applyFont="1" applyBorder="1" applyAlignment="1">
      <alignment wrapText="1"/>
    </xf>
    <xf numFmtId="0" fontId="0" fillId="0" borderId="13" xfId="0" applyFont="1" applyBorder="1" applyAlignment="1">
      <alignment horizontal="center" wrapText="1"/>
    </xf>
    <xf numFmtId="0" fontId="1" fillId="0" borderId="14" xfId="0" applyFont="1" applyBorder="1" applyAlignment="1">
      <alignment wrapText="1"/>
    </xf>
    <xf numFmtId="0" fontId="1" fillId="0" borderId="13" xfId="0" applyFont="1" applyBorder="1" applyAlignment="1">
      <alignment horizontal="center" wrapText="1"/>
    </xf>
    <xf numFmtId="175" fontId="1" fillId="47" borderId="0" xfId="0" applyNumberFormat="1" applyFont="1" applyFill="1" applyAlignment="1" applyProtection="1">
      <alignment wrapText="1"/>
      <protection locked="0"/>
    </xf>
    <xf numFmtId="175" fontId="0" fillId="37" borderId="0" xfId="0" applyNumberFormat="1" applyFill="1" applyAlignment="1" applyProtection="1">
      <alignment wrapText="1"/>
      <protection locked="0"/>
    </xf>
    <xf numFmtId="173" fontId="0" fillId="34" borderId="0" xfId="0" applyNumberFormat="1" applyFill="1" applyAlignment="1">
      <alignment wrapText="1"/>
    </xf>
    <xf numFmtId="172" fontId="0" fillId="37" borderId="0" xfId="0" applyNumberFormat="1" applyFill="1" applyAlignment="1">
      <alignment wrapText="1"/>
    </xf>
    <xf numFmtId="0" fontId="0" fillId="37" borderId="0" xfId="0" applyFill="1" applyBorder="1" applyAlignment="1">
      <alignment/>
    </xf>
    <xf numFmtId="49" fontId="0" fillId="39" borderId="0" xfId="0" applyNumberFormat="1" applyFont="1" applyFill="1" applyBorder="1" applyAlignment="1">
      <alignment horizontal="center" wrapText="1"/>
    </xf>
    <xf numFmtId="9" fontId="0" fillId="37" borderId="0" xfId="120" applyNumberFormat="1" applyFont="1" applyFill="1" applyAlignment="1" applyProtection="1">
      <alignment/>
      <protection locked="0"/>
    </xf>
    <xf numFmtId="1" fontId="0" fillId="37" borderId="0" xfId="0" applyNumberFormat="1" applyFill="1" applyAlignment="1">
      <alignment/>
    </xf>
    <xf numFmtId="3" fontId="0" fillId="35" borderId="0" xfId="0" applyNumberFormat="1" applyFill="1" applyAlignment="1">
      <alignment/>
    </xf>
    <xf numFmtId="0" fontId="0" fillId="34" borderId="0" xfId="0" applyNumberFormat="1" applyFill="1" applyAlignment="1" applyProtection="1">
      <alignment horizontal="center" vertical="center"/>
      <protection locked="0"/>
    </xf>
    <xf numFmtId="0" fontId="0" fillId="34" borderId="0" xfId="0" applyNumberFormat="1" applyFill="1" applyAlignment="1">
      <alignment horizontal="center" vertical="center"/>
    </xf>
    <xf numFmtId="1" fontId="0" fillId="34" borderId="0" xfId="0" applyNumberFormat="1" applyFill="1" applyAlignment="1">
      <alignment horizontal="center"/>
    </xf>
    <xf numFmtId="1" fontId="0" fillId="34" borderId="0" xfId="0" applyNumberFormat="1" applyFill="1" applyAlignment="1">
      <alignment horizontal="center" wrapText="1"/>
    </xf>
    <xf numFmtId="0" fontId="0" fillId="42" borderId="0" xfId="61" applyFill="1" applyAlignment="1">
      <alignment wrapText="1"/>
      <protection/>
    </xf>
    <xf numFmtId="0" fontId="0" fillId="42" borderId="0" xfId="61" applyFont="1" applyFill="1">
      <alignment/>
      <protection/>
    </xf>
    <xf numFmtId="0" fontId="0" fillId="33" borderId="0" xfId="0" applyFill="1" applyAlignment="1" applyProtection="1">
      <alignment horizontal="center" vertical="center"/>
      <protection locked="0"/>
    </xf>
    <xf numFmtId="0" fontId="0" fillId="34" borderId="0" xfId="0" applyFill="1" applyAlignment="1" applyProtection="1">
      <alignment horizontal="center" vertical="center"/>
      <protection locked="0"/>
    </xf>
    <xf numFmtId="175" fontId="0" fillId="34" borderId="0" xfId="0" applyNumberFormat="1" applyFill="1" applyAlignment="1" applyProtection="1">
      <alignment horizontal="center" vertical="center"/>
      <protection locked="0"/>
    </xf>
    <xf numFmtId="9" fontId="0" fillId="37" borderId="0" xfId="120" applyNumberFormat="1" applyFont="1" applyFill="1" applyAlignment="1" applyProtection="1">
      <alignment horizontal="center" vertical="center"/>
      <protection locked="0"/>
    </xf>
    <xf numFmtId="172" fontId="0" fillId="34" borderId="0" xfId="0" applyNumberFormat="1" applyFill="1" applyAlignment="1">
      <alignment horizontal="center" vertical="center"/>
    </xf>
    <xf numFmtId="1" fontId="0" fillId="34" borderId="0" xfId="0" applyNumberFormat="1" applyFill="1" applyAlignment="1">
      <alignment horizontal="center" vertical="center"/>
    </xf>
    <xf numFmtId="1" fontId="0" fillId="34" borderId="0" xfId="0" applyNumberFormat="1" applyFill="1" applyAlignment="1">
      <alignment horizontal="center" vertical="center" wrapText="1"/>
    </xf>
    <xf numFmtId="1" fontId="0" fillId="33" borderId="0" xfId="0" applyNumberFormat="1" applyFill="1" applyAlignment="1">
      <alignment horizontal="center" vertical="center" wrapText="1"/>
    </xf>
    <xf numFmtId="175" fontId="0" fillId="34" borderId="0" xfId="0" applyNumberFormat="1" applyFill="1" applyAlignment="1">
      <alignment horizontal="center" vertical="center"/>
    </xf>
    <xf numFmtId="175" fontId="0" fillId="44" borderId="0" xfId="0" applyNumberFormat="1" applyFill="1" applyAlignment="1" applyProtection="1">
      <alignment horizontal="center" vertical="center"/>
      <protection locked="0"/>
    </xf>
    <xf numFmtId="175" fontId="0" fillId="44" borderId="0" xfId="0" applyNumberFormat="1" applyFill="1" applyAlignment="1">
      <alignment horizontal="center" vertical="center"/>
    </xf>
    <xf numFmtId="175" fontId="0" fillId="35" borderId="0" xfId="0" applyNumberFormat="1" applyFill="1" applyAlignment="1">
      <alignment horizontal="center" vertical="center"/>
    </xf>
    <xf numFmtId="9" fontId="0" fillId="35" borderId="0" xfId="120" applyNumberFormat="1" applyFont="1" applyFill="1" applyAlignment="1" applyProtection="1">
      <alignment horizontal="center" vertical="center"/>
      <protection locked="0"/>
    </xf>
    <xf numFmtId="2" fontId="0" fillId="42" borderId="0" xfId="0" applyNumberFormat="1" applyFill="1" applyAlignment="1">
      <alignment/>
    </xf>
    <xf numFmtId="0" fontId="0" fillId="0" borderId="0" xfId="96">
      <alignment/>
      <protection/>
    </xf>
    <xf numFmtId="0" fontId="1" fillId="37" borderId="0" xfId="96" applyFont="1" applyFill="1" applyAlignment="1">
      <alignment horizontal="center" wrapText="1"/>
      <protection/>
    </xf>
    <xf numFmtId="0" fontId="0" fillId="39" borderId="15" xfId="96" applyFill="1" applyBorder="1" applyAlignment="1">
      <alignment horizontal="center" wrapText="1"/>
      <protection/>
    </xf>
    <xf numFmtId="0" fontId="0" fillId="39" borderId="0" xfId="96" applyFill="1" applyBorder="1" applyAlignment="1">
      <alignment horizontal="center" wrapText="1"/>
      <protection/>
    </xf>
    <xf numFmtId="0" fontId="0" fillId="0" borderId="0" xfId="96" applyFill="1" applyBorder="1" applyAlignment="1">
      <alignment horizontal="center" wrapText="1"/>
      <protection/>
    </xf>
    <xf numFmtId="0" fontId="1" fillId="0" borderId="0" xfId="96" applyFont="1" applyFill="1" applyBorder="1" applyAlignment="1" applyProtection="1">
      <alignment horizontal="center"/>
      <protection locked="0"/>
    </xf>
    <xf numFmtId="0" fontId="2" fillId="37" borderId="0" xfId="96" applyFont="1" applyFill="1" applyBorder="1" applyAlignment="1" applyProtection="1">
      <alignment horizontal="center"/>
      <protection/>
    </xf>
    <xf numFmtId="0" fontId="1" fillId="48" borderId="0" xfId="96" applyFont="1" applyFill="1" applyBorder="1" applyAlignment="1" applyProtection="1">
      <alignment horizontal="center"/>
      <protection locked="0"/>
    </xf>
    <xf numFmtId="9" fontId="1" fillId="48" borderId="0" xfId="96" applyNumberFormat="1" applyFont="1" applyFill="1" applyBorder="1" applyAlignment="1" applyProtection="1">
      <alignment horizontal="center"/>
      <protection locked="0"/>
    </xf>
    <xf numFmtId="0" fontId="1" fillId="39" borderId="10" xfId="96" applyFont="1" applyFill="1" applyBorder="1" applyAlignment="1" applyProtection="1">
      <alignment horizontal="center"/>
      <protection locked="0"/>
    </xf>
    <xf numFmtId="0" fontId="1" fillId="39" borderId="0" xfId="96" applyFont="1" applyFill="1" applyBorder="1" applyAlignment="1" applyProtection="1">
      <alignment horizontal="center"/>
      <protection locked="0"/>
    </xf>
    <xf numFmtId="9" fontId="1" fillId="0" borderId="0" xfId="96" applyNumberFormat="1" applyFont="1" applyFill="1" applyBorder="1" applyAlignment="1" applyProtection="1">
      <alignment horizontal="center"/>
      <protection locked="0"/>
    </xf>
    <xf numFmtId="0" fontId="15" fillId="48" borderId="0" xfId="96" applyFont="1" applyFill="1" applyBorder="1" applyAlignment="1" applyProtection="1">
      <alignment horizontal="center"/>
      <protection locked="0"/>
    </xf>
    <xf numFmtId="0" fontId="15" fillId="0" borderId="0" xfId="96" applyFont="1" applyFill="1" applyBorder="1" applyAlignment="1" applyProtection="1">
      <alignment horizontal="center"/>
      <protection locked="0"/>
    </xf>
    <xf numFmtId="0" fontId="15" fillId="48" borderId="0" xfId="96" applyFont="1" applyFill="1" applyAlignment="1" applyProtection="1">
      <alignment horizontal="center"/>
      <protection locked="0"/>
    </xf>
    <xf numFmtId="0" fontId="15" fillId="0" borderId="0" xfId="96" applyFont="1" applyFill="1" applyAlignment="1" applyProtection="1">
      <alignment horizontal="center"/>
      <protection locked="0"/>
    </xf>
    <xf numFmtId="0" fontId="2" fillId="37" borderId="0" xfId="96" applyFont="1" applyFill="1" applyBorder="1" applyAlignment="1" applyProtection="1">
      <alignment horizontal="center"/>
      <protection locked="0"/>
    </xf>
    <xf numFmtId="0" fontId="2" fillId="37" borderId="15" xfId="96" applyFont="1" applyFill="1" applyBorder="1" applyAlignment="1" applyProtection="1">
      <alignment horizontal="center"/>
      <protection/>
    </xf>
    <xf numFmtId="0" fontId="1" fillId="48" borderId="0" xfId="96" applyFont="1" applyFill="1" applyAlignment="1" applyProtection="1">
      <alignment horizontal="center"/>
      <protection locked="0"/>
    </xf>
    <xf numFmtId="0" fontId="1" fillId="0" borderId="0" xfId="96" applyFont="1" applyFill="1" applyAlignment="1" applyProtection="1">
      <alignment horizontal="center"/>
      <protection locked="0"/>
    </xf>
    <xf numFmtId="0" fontId="15" fillId="48" borderId="12" xfId="96" applyFont="1" applyFill="1" applyBorder="1" applyAlignment="1" applyProtection="1">
      <alignment horizontal="center"/>
      <protection locked="0"/>
    </xf>
    <xf numFmtId="0" fontId="1" fillId="48" borderId="12" xfId="96" applyFont="1" applyFill="1" applyBorder="1" applyAlignment="1" applyProtection="1">
      <alignment horizontal="center"/>
      <protection locked="0"/>
    </xf>
    <xf numFmtId="0" fontId="1" fillId="48" borderId="15" xfId="96" applyFont="1" applyFill="1" applyBorder="1" applyAlignment="1" applyProtection="1">
      <alignment horizontal="center"/>
      <protection locked="0"/>
    </xf>
    <xf numFmtId="0" fontId="0" fillId="0" borderId="0" xfId="96" applyFill="1">
      <alignment/>
      <protection/>
    </xf>
    <xf numFmtId="173" fontId="0" fillId="34" borderId="0" xfId="0" applyNumberFormat="1" applyFill="1" applyAlignment="1">
      <alignment horizontal="center"/>
    </xf>
    <xf numFmtId="49" fontId="1" fillId="42" borderId="0" xfId="0" applyNumberFormat="1" applyFont="1" applyFill="1" applyBorder="1" applyAlignment="1">
      <alignment horizontal="center" wrapText="1"/>
    </xf>
    <xf numFmtId="0" fontId="0" fillId="39" borderId="0" xfId="0" applyFill="1" applyAlignment="1">
      <alignment/>
    </xf>
    <xf numFmtId="0" fontId="0" fillId="34" borderId="0" xfId="0" applyNumberFormat="1" applyFill="1" applyAlignment="1">
      <alignment horizontal="right" wrapText="1"/>
    </xf>
    <xf numFmtId="172" fontId="0" fillId="34" borderId="0" xfId="0" applyNumberFormat="1" applyFill="1" applyAlignment="1">
      <alignment horizontal="center"/>
    </xf>
    <xf numFmtId="0" fontId="0" fillId="39" borderId="0" xfId="0" applyFill="1" applyAlignment="1">
      <alignment wrapText="1"/>
    </xf>
    <xf numFmtId="0" fontId="0" fillId="37" borderId="0" xfId="0" applyFill="1" applyAlignment="1" applyProtection="1">
      <alignment/>
      <protection locked="0"/>
    </xf>
    <xf numFmtId="0" fontId="0" fillId="37" borderId="0" xfId="0" applyFill="1" applyAlignment="1" applyProtection="1">
      <alignment horizontal="right"/>
      <protection locked="0"/>
    </xf>
    <xf numFmtId="175" fontId="0" fillId="37" borderId="0" xfId="0" applyNumberFormat="1" applyFill="1" applyAlignment="1" applyProtection="1">
      <alignment/>
      <protection locked="0"/>
    </xf>
    <xf numFmtId="0" fontId="0" fillId="37" borderId="0" xfId="0" applyFill="1" applyAlignment="1">
      <alignment wrapText="1"/>
    </xf>
    <xf numFmtId="0" fontId="0" fillId="37" borderId="0" xfId="0" applyFill="1" applyAlignment="1">
      <alignment horizontal="center"/>
    </xf>
    <xf numFmtId="0" fontId="0" fillId="37" borderId="0" xfId="0" applyNumberFormat="1" applyFill="1" applyAlignment="1">
      <alignment wrapText="1"/>
    </xf>
    <xf numFmtId="0" fontId="0" fillId="37" borderId="16" xfId="0" applyFont="1" applyFill="1" applyBorder="1" applyAlignment="1" applyProtection="1">
      <alignment vertical="top" wrapText="1"/>
      <protection locked="0"/>
    </xf>
    <xf numFmtId="0" fontId="0" fillId="37" borderId="0" xfId="61" applyFont="1" applyFill="1" applyBorder="1" applyAlignment="1" applyProtection="1">
      <alignment horizontal="center" vertical="top" wrapText="1"/>
      <protection locked="0"/>
    </xf>
    <xf numFmtId="173" fontId="0" fillId="37" borderId="0" xfId="0" applyNumberFormat="1" applyFill="1" applyBorder="1" applyAlignment="1">
      <alignment/>
    </xf>
    <xf numFmtId="9" fontId="0" fillId="37" borderId="0" xfId="0" applyNumberFormat="1" applyFill="1" applyAlignment="1" applyProtection="1">
      <alignment/>
      <protection locked="0"/>
    </xf>
    <xf numFmtId="0" fontId="0" fillId="37" borderId="0" xfId="0" applyFill="1" applyAlignment="1">
      <alignment horizontal="left"/>
    </xf>
    <xf numFmtId="0" fontId="0" fillId="37" borderId="0" xfId="0" applyFill="1" applyAlignment="1">
      <alignment horizontal="right"/>
    </xf>
    <xf numFmtId="0" fontId="0" fillId="37" borderId="16" xfId="0" applyFill="1" applyBorder="1" applyAlignment="1" applyProtection="1">
      <alignment vertical="top" wrapText="1"/>
      <protection locked="0"/>
    </xf>
    <xf numFmtId="0" fontId="0" fillId="37" borderId="0" xfId="61" applyFill="1" applyBorder="1" applyAlignment="1" applyProtection="1">
      <alignment horizontal="center" vertical="top" wrapText="1"/>
      <protection locked="0"/>
    </xf>
    <xf numFmtId="0" fontId="0" fillId="37" borderId="0" xfId="0" applyFill="1" applyAlignment="1" quotePrefix="1">
      <alignment/>
    </xf>
    <xf numFmtId="1" fontId="0" fillId="37" borderId="0" xfId="0" applyNumberFormat="1" applyFill="1" applyAlignment="1" applyProtection="1">
      <alignment/>
      <protection locked="0"/>
    </xf>
    <xf numFmtId="2" fontId="0" fillId="37" borderId="0" xfId="0" applyNumberFormat="1" applyFill="1" applyAlignment="1" applyProtection="1">
      <alignment/>
      <protection locked="0"/>
    </xf>
    <xf numFmtId="0" fontId="0" fillId="37" borderId="0" xfId="61" applyFill="1" applyBorder="1" applyAlignment="1">
      <alignment horizontal="center"/>
      <protection/>
    </xf>
    <xf numFmtId="0" fontId="0" fillId="37" borderId="0" xfId="0" applyFill="1" applyAlignment="1" applyProtection="1">
      <alignment horizontal="left" vertical="top" wrapText="1"/>
      <protection locked="0"/>
    </xf>
    <xf numFmtId="0" fontId="0" fillId="37" borderId="0" xfId="0" applyFill="1" applyAlignment="1" applyProtection="1">
      <alignment vertical="top"/>
      <protection locked="0"/>
    </xf>
    <xf numFmtId="0" fontId="0" fillId="37" borderId="0" xfId="0" applyFont="1" applyFill="1" applyAlignment="1" applyProtection="1">
      <alignment/>
      <protection locked="0"/>
    </xf>
    <xf numFmtId="0" fontId="0" fillId="46" borderId="0" xfId="0" applyFill="1" applyAlignment="1" applyProtection="1">
      <alignment/>
      <protection locked="0"/>
    </xf>
    <xf numFmtId="0" fontId="0" fillId="46" borderId="0" xfId="0" applyFill="1" applyAlignment="1" applyProtection="1">
      <alignment horizontal="right"/>
      <protection locked="0"/>
    </xf>
    <xf numFmtId="175" fontId="0" fillId="46" borderId="0" xfId="0" applyNumberFormat="1" applyFill="1" applyAlignment="1" applyProtection="1">
      <alignment/>
      <protection locked="0"/>
    </xf>
    <xf numFmtId="9" fontId="0" fillId="46" borderId="0" xfId="120" applyNumberFormat="1" applyFont="1" applyFill="1" applyAlignment="1" applyProtection="1">
      <alignment/>
      <protection locked="0"/>
    </xf>
    <xf numFmtId="0" fontId="0" fillId="46" borderId="0" xfId="0" applyFill="1" applyAlignment="1">
      <alignment wrapText="1"/>
    </xf>
    <xf numFmtId="0" fontId="0" fillId="46" borderId="0" xfId="0" applyFill="1" applyAlignment="1">
      <alignment/>
    </xf>
    <xf numFmtId="0" fontId="0" fillId="46" borderId="0" xfId="0" applyFill="1" applyAlignment="1">
      <alignment horizontal="center"/>
    </xf>
    <xf numFmtId="1" fontId="0" fillId="46" borderId="0" xfId="0" applyNumberFormat="1" applyFill="1" applyAlignment="1">
      <alignment/>
    </xf>
    <xf numFmtId="2" fontId="0" fillId="46" borderId="0" xfId="0" applyNumberFormat="1" applyFill="1" applyAlignment="1">
      <alignment/>
    </xf>
    <xf numFmtId="0" fontId="0" fillId="46" borderId="0" xfId="0" applyNumberFormat="1" applyFill="1" applyAlignment="1">
      <alignment wrapText="1"/>
    </xf>
    <xf numFmtId="0" fontId="0" fillId="46" borderId="16" xfId="0" applyFill="1" applyBorder="1" applyAlignment="1" applyProtection="1">
      <alignment vertical="top" wrapText="1"/>
      <protection locked="0"/>
    </xf>
    <xf numFmtId="0" fontId="0" fillId="46" borderId="0" xfId="61" applyFill="1" applyBorder="1" applyAlignment="1" applyProtection="1">
      <alignment horizontal="center" vertical="top" wrapText="1"/>
      <protection locked="0"/>
    </xf>
    <xf numFmtId="0" fontId="0" fillId="46" borderId="0" xfId="61" applyFont="1" applyFill="1" applyBorder="1" applyAlignment="1" applyProtection="1">
      <alignment horizontal="center" vertical="top" wrapText="1"/>
      <protection locked="0"/>
    </xf>
    <xf numFmtId="0" fontId="0" fillId="46" borderId="0" xfId="0" applyFill="1" applyBorder="1" applyAlignment="1">
      <alignment/>
    </xf>
    <xf numFmtId="0" fontId="0" fillId="46" borderId="16" xfId="0" applyFont="1" applyFill="1" applyBorder="1" applyAlignment="1" applyProtection="1">
      <alignment vertical="top" wrapText="1"/>
      <protection locked="0"/>
    </xf>
    <xf numFmtId="0" fontId="0" fillId="43" borderId="0" xfId="0" applyFill="1" applyAlignment="1">
      <alignment/>
    </xf>
    <xf numFmtId="9" fontId="0" fillId="35" borderId="0" xfId="0" applyNumberFormat="1" applyFill="1" applyAlignment="1">
      <alignment/>
    </xf>
    <xf numFmtId="0" fontId="0" fillId="43" borderId="0" xfId="0" applyFill="1" applyAlignment="1" applyProtection="1">
      <alignment/>
      <protection locked="0"/>
    </xf>
    <xf numFmtId="0" fontId="0" fillId="43" borderId="0" xfId="0" applyFill="1" applyAlignment="1" applyProtection="1">
      <alignment horizontal="right"/>
      <protection locked="0"/>
    </xf>
    <xf numFmtId="175" fontId="0" fillId="43" borderId="0" xfId="0" applyNumberFormat="1" applyFill="1" applyAlignment="1" applyProtection="1">
      <alignment/>
      <protection locked="0"/>
    </xf>
    <xf numFmtId="9" fontId="0" fillId="43" borderId="0" xfId="0" applyNumberFormat="1" applyFill="1" applyAlignment="1" applyProtection="1">
      <alignment/>
      <protection locked="0"/>
    </xf>
    <xf numFmtId="0" fontId="0" fillId="43" borderId="0" xfId="0" applyFill="1" applyAlignment="1">
      <alignment horizontal="center"/>
    </xf>
    <xf numFmtId="1" fontId="0" fillId="43" borderId="0" xfId="0" applyNumberFormat="1" applyFill="1" applyAlignment="1">
      <alignment/>
    </xf>
    <xf numFmtId="2" fontId="0" fillId="43" borderId="0" xfId="0" applyNumberFormat="1" applyFill="1" applyAlignment="1">
      <alignment/>
    </xf>
    <xf numFmtId="0" fontId="0" fillId="43" borderId="0" xfId="0" applyNumberFormat="1" applyFill="1" applyAlignment="1">
      <alignment wrapText="1"/>
    </xf>
    <xf numFmtId="0" fontId="0" fillId="43" borderId="16" xfId="0" applyFill="1" applyBorder="1" applyAlignment="1" applyProtection="1">
      <alignment vertical="top" wrapText="1"/>
      <protection locked="0"/>
    </xf>
    <xf numFmtId="0" fontId="0" fillId="43" borderId="0" xfId="61" applyFill="1" applyBorder="1" applyAlignment="1" applyProtection="1">
      <alignment horizontal="center" vertical="top" wrapText="1"/>
      <protection locked="0"/>
    </xf>
    <xf numFmtId="0" fontId="0" fillId="43" borderId="0" xfId="61" applyFont="1" applyFill="1" applyBorder="1" applyAlignment="1" applyProtection="1">
      <alignment horizontal="center" vertical="top" wrapText="1"/>
      <protection locked="0"/>
    </xf>
    <xf numFmtId="0" fontId="0" fillId="43" borderId="0" xfId="0" applyFill="1" applyBorder="1" applyAlignment="1">
      <alignment/>
    </xf>
    <xf numFmtId="0" fontId="0" fillId="33" borderId="0" xfId="0" applyFill="1" applyAlignment="1">
      <alignment horizontal="center"/>
    </xf>
    <xf numFmtId="0" fontId="0" fillId="34" borderId="0" xfId="0" applyFill="1" applyAlignment="1">
      <alignment horizontal="center"/>
    </xf>
    <xf numFmtId="172" fontId="0" fillId="35" borderId="0" xfId="0" applyNumberFormat="1" applyFill="1" applyAlignment="1">
      <alignment horizontal="center"/>
    </xf>
    <xf numFmtId="9" fontId="0" fillId="35" borderId="0" xfId="0" applyNumberFormat="1" applyFill="1" applyAlignment="1">
      <alignment horizontal="center"/>
    </xf>
    <xf numFmtId="0" fontId="0" fillId="34" borderId="0" xfId="0" applyNumberFormat="1" applyFill="1" applyAlignment="1">
      <alignment horizontal="center"/>
    </xf>
    <xf numFmtId="0" fontId="5" fillId="35" borderId="0" xfId="0" applyFont="1" applyFill="1" applyAlignment="1">
      <alignment wrapText="1"/>
    </xf>
    <xf numFmtId="0" fontId="0" fillId="43" borderId="16" xfId="0" applyFont="1" applyFill="1" applyBorder="1" applyAlignment="1" applyProtection="1">
      <alignment vertical="top" wrapText="1"/>
      <protection locked="0"/>
    </xf>
    <xf numFmtId="0" fontId="0" fillId="40" borderId="0" xfId="0" applyFill="1" applyAlignment="1" applyProtection="1">
      <alignment/>
      <protection locked="0"/>
    </xf>
    <xf numFmtId="0" fontId="0" fillId="40" borderId="0" xfId="0" applyFill="1" applyAlignment="1" applyProtection="1">
      <alignment horizontal="right"/>
      <protection locked="0"/>
    </xf>
    <xf numFmtId="175" fontId="0" fillId="40" borderId="0" xfId="0" applyNumberFormat="1" applyFill="1" applyAlignment="1" applyProtection="1">
      <alignment/>
      <protection locked="0"/>
    </xf>
    <xf numFmtId="9" fontId="0" fillId="40" borderId="0" xfId="0" applyNumberFormat="1" applyFill="1" applyAlignment="1" applyProtection="1">
      <alignment/>
      <protection locked="0"/>
    </xf>
    <xf numFmtId="0" fontId="0" fillId="40" borderId="0" xfId="0" applyFill="1" applyAlignment="1">
      <alignment horizontal="center"/>
    </xf>
    <xf numFmtId="1" fontId="0" fillId="40" borderId="0" xfId="0" applyNumberFormat="1" applyFill="1" applyAlignment="1">
      <alignment/>
    </xf>
    <xf numFmtId="2" fontId="0" fillId="40" borderId="0" xfId="0" applyNumberFormat="1" applyFill="1" applyAlignment="1">
      <alignment/>
    </xf>
    <xf numFmtId="0" fontId="0" fillId="40" borderId="0" xfId="0" applyNumberFormat="1" applyFill="1" applyAlignment="1">
      <alignment wrapText="1"/>
    </xf>
    <xf numFmtId="0" fontId="0" fillId="40" borderId="16" xfId="0" applyFont="1" applyFill="1" applyBorder="1" applyAlignment="1" applyProtection="1">
      <alignment vertical="top" wrapText="1"/>
      <protection locked="0"/>
    </xf>
    <xf numFmtId="0" fontId="0" fillId="40" borderId="0" xfId="61" applyFont="1" applyFill="1" applyBorder="1" applyAlignment="1" applyProtection="1">
      <alignment horizontal="center" vertical="top" wrapText="1"/>
      <protection locked="0"/>
    </xf>
    <xf numFmtId="0" fontId="0" fillId="40" borderId="0" xfId="0" applyFill="1" applyBorder="1" applyAlignment="1">
      <alignment/>
    </xf>
    <xf numFmtId="9" fontId="0" fillId="46" borderId="0" xfId="0" applyNumberFormat="1" applyFill="1" applyAlignment="1" applyProtection="1">
      <alignment/>
      <protection locked="0"/>
    </xf>
    <xf numFmtId="0" fontId="0" fillId="42" borderId="0" xfId="0" applyFill="1" applyAlignment="1" applyProtection="1">
      <alignment/>
      <protection locked="0"/>
    </xf>
    <xf numFmtId="0" fontId="0" fillId="42" borderId="0" xfId="0" applyFill="1" applyAlignment="1" applyProtection="1">
      <alignment horizontal="right"/>
      <protection locked="0"/>
    </xf>
    <xf numFmtId="175" fontId="0" fillId="42" borderId="0" xfId="0" applyNumberFormat="1" applyFill="1" applyAlignment="1" applyProtection="1">
      <alignment/>
      <protection locked="0"/>
    </xf>
    <xf numFmtId="9" fontId="0" fillId="42" borderId="0" xfId="120" applyNumberFormat="1" applyFont="1" applyFill="1" applyAlignment="1" applyProtection="1">
      <alignment/>
      <protection locked="0"/>
    </xf>
    <xf numFmtId="0" fontId="0" fillId="42" borderId="0" xfId="0" applyFill="1" applyAlignment="1">
      <alignment wrapText="1"/>
    </xf>
    <xf numFmtId="0" fontId="0" fillId="42" borderId="0" xfId="0" applyFill="1" applyAlignment="1">
      <alignment horizontal="center"/>
    </xf>
    <xf numFmtId="0" fontId="0" fillId="42" borderId="0" xfId="0" applyNumberFormat="1" applyFill="1" applyAlignment="1">
      <alignment wrapText="1"/>
    </xf>
    <xf numFmtId="0" fontId="0" fillId="42" borderId="16" xfId="0" applyFill="1" applyBorder="1" applyAlignment="1" applyProtection="1">
      <alignment vertical="top" wrapText="1"/>
      <protection locked="0"/>
    </xf>
    <xf numFmtId="0" fontId="0" fillId="42" borderId="0" xfId="61" applyFill="1" applyBorder="1" applyAlignment="1" applyProtection="1">
      <alignment horizontal="center" vertical="top" wrapText="1"/>
      <protection locked="0"/>
    </xf>
    <xf numFmtId="0" fontId="0" fillId="42" borderId="0" xfId="61" applyFont="1" applyFill="1" applyBorder="1" applyAlignment="1" applyProtection="1">
      <alignment horizontal="center" vertical="top" wrapText="1"/>
      <protection locked="0"/>
    </xf>
    <xf numFmtId="0" fontId="0" fillId="42" borderId="0" xfId="0" applyFill="1" applyBorder="1" applyAlignment="1">
      <alignment/>
    </xf>
    <xf numFmtId="9" fontId="0" fillId="42" borderId="0" xfId="0" applyNumberFormat="1" applyFill="1" applyAlignment="1" applyProtection="1">
      <alignment/>
      <protection locked="0"/>
    </xf>
    <xf numFmtId="0" fontId="0" fillId="42" borderId="16" xfId="0" applyFont="1" applyFill="1" applyBorder="1" applyAlignment="1" applyProtection="1">
      <alignment vertical="top" wrapText="1"/>
      <protection locked="0"/>
    </xf>
    <xf numFmtId="9" fontId="0" fillId="43" borderId="0" xfId="120" applyNumberFormat="1" applyFont="1" applyFill="1" applyAlignment="1" applyProtection="1">
      <alignment/>
      <protection locked="0"/>
    </xf>
    <xf numFmtId="173" fontId="0" fillId="34" borderId="0" xfId="0" applyNumberFormat="1" applyFill="1" applyAlignment="1">
      <alignment horizontal="center" vertical="center"/>
    </xf>
    <xf numFmtId="0" fontId="0" fillId="41" borderId="0" xfId="0" applyFill="1" applyAlignment="1">
      <alignment/>
    </xf>
    <xf numFmtId="175" fontId="0" fillId="35" borderId="0" xfId="0" applyNumberFormat="1" applyFill="1" applyAlignment="1">
      <alignment/>
    </xf>
    <xf numFmtId="9" fontId="0" fillId="35" borderId="0" xfId="0" applyNumberFormat="1" applyFill="1" applyAlignment="1">
      <alignment/>
    </xf>
    <xf numFmtId="0" fontId="0" fillId="35" borderId="0" xfId="0" applyFill="1" applyAlignment="1">
      <alignment horizontal="center"/>
    </xf>
    <xf numFmtId="1" fontId="0" fillId="35" borderId="0" xfId="0" applyNumberFormat="1" applyFill="1" applyAlignment="1">
      <alignment vertical="center"/>
    </xf>
    <xf numFmtId="9" fontId="0" fillId="35" borderId="0" xfId="120" applyNumberFormat="1" applyFont="1" applyFill="1" applyAlignment="1" applyProtection="1">
      <alignment vertical="center"/>
      <protection locked="0"/>
    </xf>
    <xf numFmtId="175" fontId="0" fillId="35" borderId="0" xfId="0" applyNumberFormat="1" applyFill="1" applyAlignment="1">
      <alignment vertical="center"/>
    </xf>
    <xf numFmtId="172" fontId="0" fillId="35" borderId="0" xfId="0" applyNumberFormat="1" applyFill="1" applyAlignment="1">
      <alignment/>
    </xf>
    <xf numFmtId="0" fontId="0" fillId="35" borderId="0" xfId="0" applyFill="1" applyAlignment="1">
      <alignment/>
    </xf>
    <xf numFmtId="9" fontId="0" fillId="40" borderId="0" xfId="120" applyNumberFormat="1" applyFont="1" applyFill="1" applyAlignment="1" applyProtection="1">
      <alignment/>
      <protection locked="0"/>
    </xf>
    <xf numFmtId="0" fontId="0" fillId="40" borderId="16" xfId="0" applyFill="1" applyBorder="1" applyAlignment="1" applyProtection="1">
      <alignment vertical="top" wrapText="1"/>
      <protection locked="0"/>
    </xf>
    <xf numFmtId="0" fontId="0" fillId="40" borderId="0" xfId="61" applyFill="1" applyBorder="1" applyAlignment="1" applyProtection="1">
      <alignment horizontal="center" vertical="top" wrapText="1"/>
      <protection locked="0"/>
    </xf>
    <xf numFmtId="0" fontId="0" fillId="40" borderId="0" xfId="61" applyFill="1" applyBorder="1" applyAlignment="1">
      <alignment horizontal="center"/>
      <protection/>
    </xf>
    <xf numFmtId="0" fontId="6" fillId="43" borderId="0" xfId="0" applyNumberFormat="1" applyFont="1" applyFill="1" applyAlignment="1">
      <alignment wrapText="1"/>
    </xf>
    <xf numFmtId="0" fontId="0" fillId="43" borderId="0" xfId="61" applyFill="1" applyBorder="1" applyAlignment="1">
      <alignment horizontal="center"/>
      <protection/>
    </xf>
    <xf numFmtId="0" fontId="0" fillId="42" borderId="0" xfId="61" applyFill="1" applyBorder="1" applyAlignment="1">
      <alignment horizontal="center"/>
      <protection/>
    </xf>
    <xf numFmtId="0" fontId="0" fillId="40" borderId="0" xfId="0" applyFont="1" applyFill="1" applyAlignment="1" applyProtection="1">
      <alignment/>
      <protection locked="0"/>
    </xf>
    <xf numFmtId="0" fontId="0" fillId="43" borderId="0" xfId="0" applyFont="1" applyFill="1" applyAlignment="1" applyProtection="1">
      <alignment/>
      <protection locked="0"/>
    </xf>
    <xf numFmtId="2" fontId="0" fillId="0" borderId="0" xfId="0" applyNumberFormat="1" applyFill="1" applyBorder="1" applyAlignment="1">
      <alignment wrapText="1"/>
    </xf>
    <xf numFmtId="0" fontId="5" fillId="41" borderId="0" xfId="0" applyFont="1" applyFill="1" applyAlignment="1">
      <alignment wrapText="1"/>
    </xf>
    <xf numFmtId="0" fontId="1" fillId="41" borderId="0" xfId="0" applyFont="1" applyFill="1" applyAlignment="1">
      <alignment wrapText="1"/>
    </xf>
    <xf numFmtId="49" fontId="5" fillId="41" borderId="0" xfId="0" applyNumberFormat="1" applyFont="1" applyFill="1" applyAlignment="1">
      <alignment wrapText="1"/>
    </xf>
    <xf numFmtId="0" fontId="0" fillId="41" borderId="0" xfId="0" applyFill="1" applyAlignment="1">
      <alignment wrapText="1"/>
    </xf>
    <xf numFmtId="49" fontId="4" fillId="41" borderId="0" xfId="0" applyNumberFormat="1" applyFont="1" applyFill="1" applyAlignment="1">
      <alignment wrapText="1"/>
    </xf>
    <xf numFmtId="0" fontId="4" fillId="41" borderId="0" xfId="0" applyFont="1" applyFill="1" applyAlignment="1">
      <alignment/>
    </xf>
    <xf numFmtId="0" fontId="4" fillId="41" borderId="0" xfId="0" applyFont="1" applyFill="1" applyAlignment="1">
      <alignment wrapText="1"/>
    </xf>
    <xf numFmtId="0" fontId="4" fillId="41" borderId="0" xfId="0" applyFont="1" applyFill="1" applyAlignment="1">
      <alignment horizontal="center" wrapText="1"/>
    </xf>
    <xf numFmtId="0" fontId="0" fillId="48" borderId="0" xfId="0" applyFill="1" applyAlignment="1">
      <alignment wrapText="1"/>
    </xf>
    <xf numFmtId="0" fontId="0" fillId="48" borderId="0" xfId="0" applyFont="1" applyFill="1" applyAlignment="1">
      <alignment wrapText="1"/>
    </xf>
    <xf numFmtId="49" fontId="4" fillId="48" borderId="0" xfId="0" applyNumberFormat="1" applyFont="1" applyFill="1" applyAlignment="1">
      <alignment wrapText="1"/>
    </xf>
    <xf numFmtId="0" fontId="5" fillId="48" borderId="0" xfId="0" applyFont="1" applyFill="1" applyAlignment="1">
      <alignment wrapText="1"/>
    </xf>
    <xf numFmtId="0" fontId="1" fillId="48" borderId="0" xfId="0" applyFont="1" applyFill="1" applyAlignment="1">
      <alignment wrapText="1"/>
    </xf>
    <xf numFmtId="3" fontId="0" fillId="35" borderId="0" xfId="0" applyNumberFormat="1" applyFill="1" applyAlignment="1">
      <alignment horizontal="center"/>
    </xf>
    <xf numFmtId="0" fontId="0" fillId="48" borderId="0" xfId="0" applyFill="1" applyAlignment="1">
      <alignment/>
    </xf>
    <xf numFmtId="0" fontId="0" fillId="0" borderId="0" xfId="0" applyFill="1" applyAlignment="1">
      <alignment/>
    </xf>
    <xf numFmtId="1" fontId="0" fillId="0" borderId="0" xfId="0" applyNumberFormat="1" applyFill="1" applyAlignment="1">
      <alignment wrapText="1"/>
    </xf>
    <xf numFmtId="1" fontId="0" fillId="0" borderId="0" xfId="0" applyNumberFormat="1" applyFill="1" applyAlignment="1">
      <alignment horizontal="center"/>
    </xf>
    <xf numFmtId="1" fontId="4" fillId="0" borderId="0" xfId="0" applyNumberFormat="1" applyFont="1" applyFill="1" applyAlignment="1">
      <alignment/>
    </xf>
    <xf numFmtId="1" fontId="4" fillId="0" borderId="0" xfId="0" applyNumberFormat="1" applyFont="1" applyFill="1" applyAlignment="1">
      <alignment/>
    </xf>
    <xf numFmtId="1" fontId="0" fillId="0" borderId="0" xfId="0" applyNumberFormat="1" applyFill="1" applyAlignment="1">
      <alignment horizontal="center" wrapText="1"/>
    </xf>
    <xf numFmtId="1" fontId="0" fillId="0" borderId="0" xfId="0" applyNumberFormat="1" applyFill="1" applyAlignment="1">
      <alignment/>
    </xf>
    <xf numFmtId="1" fontId="0" fillId="0" borderId="0" xfId="0" applyNumberFormat="1" applyFont="1" applyFill="1" applyAlignment="1">
      <alignment wrapText="1"/>
    </xf>
    <xf numFmtId="0" fontId="0" fillId="49" borderId="0" xfId="0" applyFill="1" applyAlignment="1" applyProtection="1">
      <alignment horizontal="right"/>
      <protection locked="0"/>
    </xf>
    <xf numFmtId="0" fontId="0" fillId="49" borderId="0" xfId="0" applyFill="1" applyAlignment="1" applyProtection="1">
      <alignment/>
      <protection locked="0"/>
    </xf>
    <xf numFmtId="175" fontId="0" fillId="49" borderId="0" xfId="0" applyNumberFormat="1" applyFill="1" applyAlignment="1" applyProtection="1">
      <alignment/>
      <protection locked="0"/>
    </xf>
    <xf numFmtId="9" fontId="0" fillId="49" borderId="0" xfId="120" applyNumberFormat="1" applyFont="1" applyFill="1" applyAlignment="1" applyProtection="1">
      <alignment/>
      <protection locked="0"/>
    </xf>
    <xf numFmtId="0" fontId="0" fillId="49" borderId="0" xfId="0" applyFill="1" applyAlignment="1">
      <alignment wrapText="1"/>
    </xf>
    <xf numFmtId="0" fontId="0" fillId="49" borderId="0" xfId="0" applyFill="1" applyAlignment="1">
      <alignment/>
    </xf>
    <xf numFmtId="0" fontId="0" fillId="49" borderId="0" xfId="0" applyFill="1" applyAlignment="1">
      <alignment horizontal="center"/>
    </xf>
    <xf numFmtId="1" fontId="0" fillId="49" borderId="0" xfId="0" applyNumberFormat="1" applyFill="1" applyAlignment="1">
      <alignment/>
    </xf>
    <xf numFmtId="2" fontId="0" fillId="49" borderId="0" xfId="0" applyNumberFormat="1" applyFill="1" applyAlignment="1">
      <alignment/>
    </xf>
    <xf numFmtId="0" fontId="0" fillId="49" borderId="0" xfId="0" applyNumberFormat="1" applyFill="1" applyAlignment="1">
      <alignment wrapText="1"/>
    </xf>
    <xf numFmtId="0" fontId="0" fillId="49" borderId="16" xfId="0" applyFont="1" applyFill="1" applyBorder="1" applyAlignment="1" applyProtection="1">
      <alignment vertical="top" wrapText="1"/>
      <protection locked="0"/>
    </xf>
    <xf numFmtId="0" fontId="16" fillId="35" borderId="0" xfId="0" applyFont="1" applyFill="1" applyAlignment="1" applyProtection="1">
      <alignment horizontal="center"/>
      <protection/>
    </xf>
    <xf numFmtId="0" fontId="0" fillId="49" borderId="0" xfId="61" applyFont="1" applyFill="1" applyBorder="1" applyAlignment="1" applyProtection="1">
      <alignment horizontal="center" vertical="top" wrapText="1"/>
      <protection locked="0"/>
    </xf>
    <xf numFmtId="0" fontId="0" fillId="49" borderId="0" xfId="0" applyFill="1" applyBorder="1" applyAlignment="1">
      <alignment/>
    </xf>
    <xf numFmtId="9" fontId="0" fillId="49" borderId="0" xfId="0" applyNumberFormat="1" applyFill="1" applyAlignment="1" applyProtection="1">
      <alignment/>
      <protection locked="0"/>
    </xf>
    <xf numFmtId="0" fontId="0" fillId="49" borderId="16" xfId="0" applyFill="1" applyBorder="1" applyAlignment="1" applyProtection="1">
      <alignment vertical="top" wrapText="1"/>
      <protection locked="0"/>
    </xf>
    <xf numFmtId="0" fontId="0" fillId="49" borderId="0" xfId="61" applyFill="1" applyBorder="1" applyAlignment="1" applyProtection="1">
      <alignment horizontal="center" vertical="top" wrapText="1"/>
      <protection locked="0"/>
    </xf>
    <xf numFmtId="2" fontId="1" fillId="0" borderId="0" xfId="0" applyNumberFormat="1" applyFont="1" applyFill="1" applyBorder="1" applyAlignment="1">
      <alignment horizontal="center" wrapText="1"/>
    </xf>
    <xf numFmtId="0" fontId="0" fillId="0" borderId="0" xfId="0" applyFont="1" applyFill="1" applyAlignment="1">
      <alignment wrapText="1"/>
    </xf>
    <xf numFmtId="0" fontId="0" fillId="0" borderId="0" xfId="0" applyAlignment="1">
      <alignment horizontal="left"/>
    </xf>
    <xf numFmtId="0" fontId="2" fillId="0" borderId="0" xfId="0" applyFont="1" applyFill="1" applyAlignment="1">
      <alignment horizontal="left" wrapText="1"/>
    </xf>
    <xf numFmtId="0" fontId="0" fillId="33" borderId="0" xfId="0" applyFill="1" applyAlignment="1">
      <alignment horizontal="left" wrapText="1"/>
    </xf>
    <xf numFmtId="0" fontId="5" fillId="0" borderId="0" xfId="0" applyFont="1" applyAlignment="1">
      <alignment horizontal="left" wrapText="1"/>
    </xf>
    <xf numFmtId="49" fontId="1" fillId="0" borderId="0" xfId="0" applyNumberFormat="1" applyFont="1" applyAlignment="1">
      <alignment horizontal="left" wrapText="1"/>
    </xf>
    <xf numFmtId="0" fontId="17" fillId="50" borderId="15" xfId="0" applyFont="1" applyFill="1" applyBorder="1" applyAlignment="1">
      <alignment horizontal="center" vertical="center" textRotation="90"/>
    </xf>
    <xf numFmtId="0" fontId="0" fillId="0" borderId="15" xfId="0" applyBorder="1" applyAlignment="1">
      <alignment/>
    </xf>
    <xf numFmtId="0" fontId="16" fillId="35" borderId="0" xfId="0" applyFont="1" applyFill="1" applyBorder="1" applyAlignment="1" applyProtection="1">
      <alignment horizontal="center" vertical="center" textRotation="2"/>
      <protection locked="0"/>
    </xf>
    <xf numFmtId="0" fontId="0" fillId="0" borderId="0" xfId="0" applyBorder="1" applyAlignment="1">
      <alignment/>
    </xf>
    <xf numFmtId="0" fontId="16" fillId="35" borderId="0" xfId="0" applyFont="1" applyFill="1" applyAlignment="1" applyProtection="1">
      <alignment horizontal="center" textRotation="2"/>
      <protection/>
    </xf>
    <xf numFmtId="0" fontId="0" fillId="35" borderId="0" xfId="0" applyFont="1" applyFill="1" applyBorder="1" applyAlignment="1">
      <alignment textRotation="2"/>
    </xf>
    <xf numFmtId="49" fontId="16" fillId="35" borderId="0" xfId="0" applyNumberFormat="1" applyFont="1" applyFill="1" applyBorder="1" applyAlignment="1">
      <alignment horizontal="center" textRotation="2"/>
    </xf>
    <xf numFmtId="0" fontId="16" fillId="35" borderId="0" xfId="0" applyFont="1" applyFill="1" applyBorder="1" applyAlignment="1">
      <alignment horizontal="center" textRotation="2"/>
    </xf>
    <xf numFmtId="0" fontId="16" fillId="35" borderId="0" xfId="0" applyFont="1" applyFill="1" applyBorder="1" applyAlignment="1">
      <alignment horizontal="center" vertical="center" textRotation="2"/>
    </xf>
    <xf numFmtId="0" fontId="16" fillId="35" borderId="0" xfId="0" applyFont="1" applyFill="1" applyBorder="1" applyAlignment="1">
      <alignment vertical="center" textRotation="2"/>
    </xf>
    <xf numFmtId="0" fontId="3" fillId="46" borderId="0" xfId="0" applyFont="1" applyFill="1" applyAlignment="1">
      <alignment horizontal="right" vertical="center" wrapText="1"/>
    </xf>
    <xf numFmtId="0" fontId="3" fillId="46" borderId="0" xfId="0" applyFont="1" applyFill="1" applyAlignment="1">
      <alignment horizontal="center" vertical="center" wrapText="1"/>
    </xf>
    <xf numFmtId="10" fontId="0" fillId="41" borderId="0" xfId="0" applyNumberFormat="1" applyFill="1" applyAlignment="1">
      <alignment horizontal="center"/>
    </xf>
    <xf numFmtId="0" fontId="0" fillId="44" borderId="0" xfId="0" applyFill="1" applyAlignment="1">
      <alignment/>
    </xf>
    <xf numFmtId="0" fontId="0" fillId="44" borderId="0" xfId="0" applyFill="1" applyAlignment="1">
      <alignment horizontal="center"/>
    </xf>
    <xf numFmtId="0" fontId="0" fillId="44" borderId="15" xfId="0" applyFill="1" applyBorder="1" applyAlignment="1">
      <alignment/>
    </xf>
    <xf numFmtId="0" fontId="0" fillId="46" borderId="15" xfId="0" applyFill="1" applyBorder="1" applyAlignment="1">
      <alignment/>
    </xf>
    <xf numFmtId="0" fontId="0" fillId="46" borderId="15" xfId="0" applyFill="1" applyBorder="1" applyAlignment="1">
      <alignment horizontal="center"/>
    </xf>
    <xf numFmtId="0" fontId="0" fillId="44" borderId="15" xfId="0" applyFill="1" applyBorder="1" applyAlignment="1">
      <alignment horizontal="center"/>
    </xf>
    <xf numFmtId="0" fontId="0" fillId="48" borderId="15" xfId="0" applyFill="1" applyBorder="1" applyAlignment="1">
      <alignment/>
    </xf>
    <xf numFmtId="0" fontId="1" fillId="51" borderId="15" xfId="0" applyFont="1" applyFill="1" applyBorder="1" applyAlignment="1">
      <alignment horizontal="center"/>
    </xf>
    <xf numFmtId="0" fontId="0" fillId="48" borderId="15" xfId="0" applyFill="1" applyBorder="1" applyAlignment="1">
      <alignment vertical="center" wrapText="1"/>
    </xf>
    <xf numFmtId="0" fontId="0" fillId="46" borderId="0" xfId="0" applyFont="1" applyFill="1" applyAlignment="1" applyProtection="1">
      <alignment horizontal="center" vertical="center" wrapText="1"/>
      <protection locked="0"/>
    </xf>
    <xf numFmtId="0" fontId="15" fillId="46" borderId="0" xfId="0" applyFont="1" applyFill="1" applyAlignment="1" applyProtection="1">
      <alignment horizontal="left" vertical="center" wrapText="1"/>
      <protection locked="0"/>
    </xf>
    <xf numFmtId="0" fontId="19" fillId="39" borderId="0" xfId="0" applyFont="1" applyFill="1" applyAlignment="1" applyProtection="1">
      <alignment horizontal="center" vertical="center" wrapText="1"/>
      <protection locked="0"/>
    </xf>
    <xf numFmtId="0" fontId="0" fillId="39" borderId="0" xfId="0" applyFont="1" applyFill="1" applyAlignment="1">
      <alignment horizontal="center" vertical="center" wrapText="1"/>
    </xf>
    <xf numFmtId="0" fontId="0" fillId="39" borderId="0" xfId="0" applyFont="1" applyFill="1" applyAlignment="1" applyProtection="1">
      <alignment horizontal="center" vertical="center" wrapText="1"/>
      <protection locked="0"/>
    </xf>
    <xf numFmtId="0" fontId="19" fillId="39" borderId="0" xfId="0" applyFont="1" applyFill="1" applyBorder="1" applyAlignment="1" applyProtection="1">
      <alignment horizontal="center" vertical="center" wrapText="1"/>
      <protection locked="0"/>
    </xf>
    <xf numFmtId="0" fontId="0" fillId="39" borderId="0" xfId="0" applyFont="1" applyFill="1" applyAlignment="1">
      <alignment horizontal="center" vertical="center" wrapText="1" shrinkToFit="1"/>
    </xf>
    <xf numFmtId="0" fontId="0" fillId="39" borderId="0" xfId="0" applyFill="1" applyAlignment="1">
      <alignment horizontal="center"/>
    </xf>
    <xf numFmtId="0" fontId="0" fillId="39" borderId="0" xfId="0" applyFont="1" applyFill="1" applyAlignment="1" applyProtection="1">
      <alignment horizontal="center"/>
      <protection locked="0"/>
    </xf>
    <xf numFmtId="0" fontId="0" fillId="39" borderId="0" xfId="0" applyFont="1" applyFill="1" applyBorder="1" applyAlignment="1">
      <alignment horizontal="center" vertical="center" wrapText="1"/>
    </xf>
    <xf numFmtId="0" fontId="0" fillId="39" borderId="0" xfId="0" applyFont="1" applyFill="1" applyAlignment="1">
      <alignment horizontal="center"/>
    </xf>
    <xf numFmtId="9" fontId="19" fillId="39" borderId="0" xfId="0" applyNumberFormat="1" applyFont="1" applyFill="1" applyAlignment="1" applyProtection="1">
      <alignment horizontal="center" vertical="center" wrapText="1"/>
      <protection locked="0"/>
    </xf>
    <xf numFmtId="9" fontId="0" fillId="39" borderId="0" xfId="0" applyNumberFormat="1" applyFont="1" applyFill="1" applyAlignment="1" applyProtection="1">
      <alignment horizontal="center" vertical="center" wrapText="1"/>
      <protection locked="0"/>
    </xf>
    <xf numFmtId="0" fontId="19" fillId="46" borderId="15" xfId="0" applyFont="1" applyFill="1" applyBorder="1" applyAlignment="1" applyProtection="1">
      <alignment horizontal="left" vertical="center" wrapText="1"/>
      <protection locked="0"/>
    </xf>
    <xf numFmtId="0" fontId="15" fillId="46" borderId="15" xfId="0" applyFont="1" applyFill="1" applyBorder="1" applyAlignment="1" applyProtection="1">
      <alignment horizontal="left" vertical="center" wrapText="1"/>
      <protection locked="0"/>
    </xf>
    <xf numFmtId="9" fontId="19" fillId="39" borderId="15" xfId="0" applyNumberFormat="1" applyFont="1" applyFill="1" applyBorder="1" applyAlignment="1" applyProtection="1">
      <alignment horizontal="center" vertical="center" wrapText="1"/>
      <protection locked="0"/>
    </xf>
    <xf numFmtId="0" fontId="19" fillId="39" borderId="15" xfId="0" applyFont="1" applyFill="1" applyBorder="1" applyAlignment="1" applyProtection="1">
      <alignment horizontal="center" vertical="center" wrapText="1"/>
      <protection locked="0"/>
    </xf>
    <xf numFmtId="0" fontId="0" fillId="39" borderId="15" xfId="0" applyFont="1" applyFill="1" applyBorder="1" applyAlignment="1">
      <alignment horizontal="center" vertical="center" wrapText="1"/>
    </xf>
    <xf numFmtId="0" fontId="0" fillId="39" borderId="15" xfId="0" applyFont="1" applyFill="1" applyBorder="1" applyAlignment="1">
      <alignment horizontal="center" vertical="center"/>
    </xf>
    <xf numFmtId="0" fontId="0" fillId="39" borderId="15" xfId="0" applyFill="1" applyBorder="1" applyAlignment="1">
      <alignment horizontal="center"/>
    </xf>
    <xf numFmtId="0" fontId="0" fillId="39" borderId="15" xfId="0" applyFont="1" applyFill="1" applyBorder="1" applyAlignment="1">
      <alignment horizontal="center"/>
    </xf>
    <xf numFmtId="0" fontId="0" fillId="46" borderId="0" xfId="0" applyFont="1" applyFill="1" applyBorder="1" applyAlignment="1" applyProtection="1">
      <alignment horizontal="center" vertical="center" wrapText="1"/>
      <protection locked="0"/>
    </xf>
    <xf numFmtId="0" fontId="0" fillId="39" borderId="0" xfId="0" applyFont="1" applyFill="1" applyAlignment="1">
      <alignment horizontal="center" vertical="center"/>
    </xf>
    <xf numFmtId="0" fontId="0" fillId="39" borderId="0" xfId="0" applyFont="1" applyFill="1" applyBorder="1" applyAlignment="1" applyProtection="1">
      <alignment horizontal="center" vertical="center" wrapText="1"/>
      <protection locked="0"/>
    </xf>
    <xf numFmtId="49" fontId="0" fillId="39" borderId="0" xfId="0" applyNumberFormat="1" applyFont="1" applyFill="1" applyAlignment="1" applyProtection="1">
      <alignment horizontal="center" vertical="center" wrapText="1"/>
      <protection locked="0"/>
    </xf>
    <xf numFmtId="0" fontId="0" fillId="39" borderId="0" xfId="0" applyFont="1" applyFill="1" applyAlignment="1" applyProtection="1">
      <alignment horizontal="center" vertical="center" wrapText="1" shrinkToFit="1"/>
      <protection locked="0"/>
    </xf>
    <xf numFmtId="0" fontId="0" fillId="46" borderId="15" xfId="0" applyFont="1" applyFill="1" applyBorder="1" applyAlignment="1" applyProtection="1">
      <alignment horizontal="center" vertical="center" wrapText="1"/>
      <protection locked="0"/>
    </xf>
    <xf numFmtId="0" fontId="0" fillId="39" borderId="15" xfId="0" applyFont="1" applyFill="1" applyBorder="1" applyAlignment="1" applyProtection="1">
      <alignment horizontal="center" vertical="center" wrapText="1"/>
      <protection locked="0"/>
    </xf>
    <xf numFmtId="0" fontId="19" fillId="52" borderId="15" xfId="0" applyFont="1" applyFill="1" applyBorder="1" applyAlignment="1" applyProtection="1">
      <alignment horizontal="center" vertical="center" wrapText="1"/>
      <protection locked="0"/>
    </xf>
    <xf numFmtId="0" fontId="0" fillId="39" borderId="15" xfId="0" applyFont="1" applyFill="1" applyBorder="1" applyAlignment="1" applyProtection="1">
      <alignment horizontal="center" vertical="center" wrapText="1" shrinkToFit="1"/>
      <protection locked="0"/>
    </xf>
    <xf numFmtId="0" fontId="0" fillId="52" borderId="15" xfId="0" applyFont="1" applyFill="1" applyBorder="1" applyAlignment="1" applyProtection="1">
      <alignment horizontal="center" vertical="center" wrapText="1"/>
      <protection locked="0"/>
    </xf>
    <xf numFmtId="0" fontId="15" fillId="39" borderId="15" xfId="0" applyFont="1" applyFill="1" applyBorder="1" applyAlignment="1" applyProtection="1">
      <alignment horizontal="center"/>
      <protection locked="0"/>
    </xf>
    <xf numFmtId="0" fontId="15" fillId="39" borderId="15" xfId="0" applyFont="1" applyFill="1" applyBorder="1" applyAlignment="1" applyProtection="1">
      <alignment horizontal="center" vertical="center" wrapText="1"/>
      <protection locked="0"/>
    </xf>
    <xf numFmtId="0" fontId="0" fillId="39" borderId="0" xfId="0" applyFill="1" applyAlignment="1">
      <alignment horizontal="center" vertical="center" wrapText="1"/>
    </xf>
    <xf numFmtId="0" fontId="0" fillId="39" borderId="15" xfId="0" applyFont="1" applyFill="1" applyBorder="1" applyAlignment="1" applyProtection="1">
      <alignment horizontal="center"/>
      <protection locked="0"/>
    </xf>
    <xf numFmtId="0" fontId="0" fillId="46" borderId="0" xfId="0" applyFont="1" applyFill="1" applyAlignment="1" applyProtection="1">
      <alignment horizontal="right" vertical="center" wrapText="1"/>
      <protection locked="0"/>
    </xf>
    <xf numFmtId="0" fontId="15" fillId="46" borderId="0" xfId="0" applyFont="1" applyFill="1" applyAlignment="1" applyProtection="1">
      <alignment vertical="center" wrapText="1"/>
      <protection locked="0"/>
    </xf>
    <xf numFmtId="0" fontId="0" fillId="46" borderId="15" xfId="0" applyFont="1" applyFill="1" applyBorder="1" applyAlignment="1" applyProtection="1">
      <alignment horizontal="right" vertical="center" wrapText="1"/>
      <protection locked="0"/>
    </xf>
    <xf numFmtId="0" fontId="15" fillId="46" borderId="15" xfId="0" applyFont="1" applyFill="1" applyBorder="1" applyAlignment="1" applyProtection="1">
      <alignment vertical="center" wrapText="1"/>
      <protection locked="0"/>
    </xf>
    <xf numFmtId="0" fontId="0" fillId="39" borderId="15" xfId="0" applyFont="1" applyFill="1" applyBorder="1" applyAlignment="1">
      <alignment horizontal="center" vertical="center" wrapText="1" shrinkToFit="1"/>
    </xf>
    <xf numFmtId="0" fontId="0" fillId="46" borderId="0" xfId="0" applyFont="1" applyFill="1" applyAlignment="1" applyProtection="1">
      <alignment vertical="center" wrapText="1"/>
      <protection locked="0"/>
    </xf>
    <xf numFmtId="0" fontId="15" fillId="39" borderId="0" xfId="0" applyFont="1" applyFill="1" applyAlignment="1" applyProtection="1">
      <alignment horizontal="center"/>
      <protection locked="0"/>
    </xf>
    <xf numFmtId="0" fontId="19" fillId="39" borderId="0" xfId="0" applyFont="1" applyFill="1" applyAlignment="1" applyProtection="1">
      <alignment horizontal="center" vertical="center" wrapText="1" shrinkToFit="1"/>
      <protection locked="0"/>
    </xf>
    <xf numFmtId="0" fontId="15" fillId="0" borderId="0" xfId="0" applyFont="1" applyFill="1" applyAlignment="1" applyProtection="1">
      <alignment horizontal="center"/>
      <protection locked="0"/>
    </xf>
    <xf numFmtId="0" fontId="19" fillId="39" borderId="0" xfId="0" applyFont="1" applyFill="1" applyAlignment="1" applyProtection="1">
      <alignment horizontal="center"/>
      <protection locked="0"/>
    </xf>
    <xf numFmtId="0" fontId="15" fillId="39" borderId="0" xfId="0" applyFont="1" applyFill="1" applyBorder="1" applyAlignment="1" applyProtection="1">
      <alignment horizontal="center"/>
      <protection locked="0"/>
    </xf>
    <xf numFmtId="0" fontId="19" fillId="39" borderId="15" xfId="0" applyFont="1" applyFill="1" applyBorder="1" applyAlignment="1" applyProtection="1">
      <alignment horizontal="center" vertical="center" wrapText="1" shrinkToFit="1"/>
      <protection locked="0"/>
    </xf>
    <xf numFmtId="0" fontId="0" fillId="39" borderId="15" xfId="0" applyFill="1" applyBorder="1" applyAlignment="1">
      <alignment horizontal="center" vertical="center" wrapText="1"/>
    </xf>
    <xf numFmtId="0" fontId="0" fillId="0" borderId="0" xfId="0" applyFill="1" applyAlignment="1">
      <alignment vertical="center" wrapText="1"/>
    </xf>
    <xf numFmtId="0" fontId="0" fillId="0" borderId="0" xfId="0" applyFont="1" applyFill="1" applyAlignment="1">
      <alignment vertical="center" wrapText="1"/>
    </xf>
    <xf numFmtId="0" fontId="0" fillId="39" borderId="0" xfId="0" applyFill="1" applyAlignment="1">
      <alignment vertical="center" wrapText="1"/>
    </xf>
    <xf numFmtId="0" fontId="1" fillId="0" borderId="0" xfId="0" applyFont="1" applyFill="1" applyAlignment="1" applyProtection="1">
      <alignment horizontal="center"/>
      <protection locked="0"/>
    </xf>
    <xf numFmtId="0" fontId="0" fillId="0" borderId="0" xfId="0" applyFont="1" applyFill="1" applyAlignment="1" applyProtection="1">
      <alignment vertical="center" wrapText="1"/>
      <protection locked="0"/>
    </xf>
    <xf numFmtId="0" fontId="3" fillId="0" borderId="0" xfId="0" applyFont="1" applyFill="1" applyAlignment="1" applyProtection="1">
      <alignment horizontal="left"/>
      <protection locked="0"/>
    </xf>
    <xf numFmtId="0" fontId="16" fillId="0" borderId="0" xfId="0" applyFont="1" applyFill="1" applyAlignment="1" applyProtection="1">
      <alignment horizontal="left"/>
      <protection locked="0"/>
    </xf>
    <xf numFmtId="0" fontId="19" fillId="0" borderId="0" xfId="0" applyFont="1" applyFill="1" applyAlignment="1" applyProtection="1">
      <alignment/>
      <protection locked="0"/>
    </xf>
    <xf numFmtId="10" fontId="0" fillId="0" borderId="0" xfId="0" applyNumberFormat="1" applyFill="1" applyAlignment="1">
      <alignment/>
    </xf>
    <xf numFmtId="0" fontId="15" fillId="0" borderId="0" xfId="0" applyFont="1" applyFill="1" applyAlignment="1" applyProtection="1">
      <alignment vertical="center" wrapText="1"/>
      <protection locked="0"/>
    </xf>
    <xf numFmtId="0" fontId="0" fillId="0" borderId="0" xfId="0" applyFill="1" applyAlignment="1" applyProtection="1">
      <alignment vertical="center" wrapText="1"/>
      <protection locked="0"/>
    </xf>
    <xf numFmtId="10" fontId="0" fillId="0" borderId="0" xfId="0" applyNumberFormat="1" applyAlignment="1">
      <alignment/>
    </xf>
    <xf numFmtId="0" fontId="15" fillId="0" borderId="0" xfId="0" applyFont="1" applyFill="1" applyAlignment="1" applyProtection="1">
      <alignment horizontal="center" vertical="center" wrapText="1"/>
      <protection locked="0"/>
    </xf>
    <xf numFmtId="0" fontId="0" fillId="53" borderId="0" xfId="0" applyFill="1" applyAlignment="1">
      <alignment/>
    </xf>
    <xf numFmtId="0" fontId="16" fillId="33" borderId="0" xfId="0" applyFont="1" applyFill="1" applyAlignment="1" applyProtection="1">
      <alignment horizontal="center" textRotation="2"/>
      <protection/>
    </xf>
    <xf numFmtId="0" fontId="19" fillId="33" borderId="0" xfId="0" applyFont="1" applyFill="1" applyAlignment="1" applyProtection="1">
      <alignment horizontal="center" vertical="center" wrapText="1"/>
      <protection locked="0"/>
    </xf>
    <xf numFmtId="0" fontId="0" fillId="33" borderId="0" xfId="0" applyFont="1" applyFill="1" applyAlignment="1">
      <alignment horizontal="center" vertical="center" wrapText="1"/>
    </xf>
    <xf numFmtId="0" fontId="0" fillId="33" borderId="15" xfId="0" applyFont="1" applyFill="1" applyBorder="1" applyAlignment="1">
      <alignment horizontal="center" vertical="center" wrapText="1"/>
    </xf>
    <xf numFmtId="0" fontId="19" fillId="33" borderId="15" xfId="0" applyFont="1" applyFill="1" applyBorder="1" applyAlignment="1" applyProtection="1">
      <alignment horizontal="center" vertical="center" wrapText="1"/>
      <protection locked="0"/>
    </xf>
    <xf numFmtId="0" fontId="16" fillId="42" borderId="0" xfId="0" applyFont="1" applyFill="1" applyAlignment="1" applyProtection="1">
      <alignment horizontal="center" textRotation="2"/>
      <protection/>
    </xf>
    <xf numFmtId="0" fontId="19" fillId="42" borderId="0" xfId="0" applyFont="1" applyFill="1" applyAlignment="1" applyProtection="1">
      <alignment horizontal="center" vertical="center" wrapText="1"/>
      <protection locked="0"/>
    </xf>
    <xf numFmtId="0" fontId="0" fillId="42" borderId="0" xfId="0" applyFont="1" applyFill="1" applyAlignment="1">
      <alignment horizontal="center" vertical="center" wrapText="1"/>
    </xf>
    <xf numFmtId="0" fontId="0" fillId="42" borderId="15" xfId="0" applyFont="1" applyFill="1" applyBorder="1" applyAlignment="1">
      <alignment horizontal="center" vertical="center" wrapText="1"/>
    </xf>
    <xf numFmtId="0" fontId="19" fillId="42" borderId="15" xfId="0" applyFont="1" applyFill="1" applyBorder="1" applyAlignment="1" applyProtection="1">
      <alignment horizontal="center" vertical="center" wrapText="1"/>
      <protection locked="0"/>
    </xf>
    <xf numFmtId="0" fontId="19" fillId="42" borderId="0" xfId="0" applyFont="1" applyFill="1" applyBorder="1" applyAlignment="1" applyProtection="1">
      <alignment horizontal="center" vertical="center" wrapText="1"/>
      <protection locked="0"/>
    </xf>
    <xf numFmtId="0" fontId="19" fillId="33" borderId="0" xfId="0" applyFont="1" applyFill="1" applyBorder="1" applyAlignment="1" applyProtection="1">
      <alignment horizontal="center" vertical="center" wrapText="1"/>
      <protection locked="0"/>
    </xf>
    <xf numFmtId="0" fontId="19" fillId="42" borderId="0" xfId="0" applyFont="1" applyFill="1" applyAlignment="1" applyProtection="1">
      <alignment horizontal="center" vertical="center" wrapText="1" shrinkToFit="1"/>
      <protection locked="0"/>
    </xf>
    <xf numFmtId="0" fontId="19" fillId="33" borderId="0" xfId="0" applyFont="1" applyFill="1" applyAlignment="1" applyProtection="1">
      <alignment horizontal="center" vertical="center" wrapText="1" shrinkToFit="1"/>
      <protection locked="0"/>
    </xf>
    <xf numFmtId="0" fontId="1" fillId="42" borderId="0" xfId="0" applyFont="1" applyFill="1" applyAlignment="1" applyProtection="1">
      <alignment horizontal="center" vertical="center" wrapText="1"/>
      <protection locked="0"/>
    </xf>
    <xf numFmtId="0" fontId="19" fillId="40" borderId="0" xfId="0" applyFont="1" applyFill="1" applyAlignment="1">
      <alignment wrapText="1"/>
    </xf>
    <xf numFmtId="0" fontId="0" fillId="42" borderId="0" xfId="0" applyFont="1" applyFill="1" applyBorder="1" applyAlignment="1">
      <alignment horizontal="center" vertical="center" wrapText="1"/>
    </xf>
    <xf numFmtId="0" fontId="0" fillId="44" borderId="0" xfId="0" applyFill="1" applyAlignment="1">
      <alignment wrapText="1"/>
    </xf>
    <xf numFmtId="0" fontId="0" fillId="37" borderId="0" xfId="0" applyFill="1" applyBorder="1" applyAlignment="1">
      <alignment wrapText="1"/>
    </xf>
    <xf numFmtId="2" fontId="5" fillId="35" borderId="0" xfId="0" applyNumberFormat="1" applyFont="1" applyFill="1" applyAlignment="1">
      <alignment wrapText="1"/>
    </xf>
    <xf numFmtId="2" fontId="0" fillId="37" borderId="0" xfId="0" applyNumberFormat="1" applyFill="1" applyBorder="1" applyAlignment="1">
      <alignment/>
    </xf>
    <xf numFmtId="2" fontId="0" fillId="43" borderId="0" xfId="0" applyNumberFormat="1" applyFill="1" applyBorder="1" applyAlignment="1">
      <alignment/>
    </xf>
    <xf numFmtId="2" fontId="0" fillId="46" borderId="0" xfId="0" applyNumberFormat="1" applyFill="1" applyBorder="1" applyAlignment="1">
      <alignment/>
    </xf>
    <xf numFmtId="2" fontId="0" fillId="49" borderId="0" xfId="0" applyNumberFormat="1" applyFill="1" applyBorder="1" applyAlignment="1">
      <alignment/>
    </xf>
    <xf numFmtId="2" fontId="0" fillId="40" borderId="0" xfId="0" applyNumberFormat="1" applyFill="1" applyBorder="1" applyAlignment="1">
      <alignment/>
    </xf>
    <xf numFmtId="2" fontId="0" fillId="42" borderId="0" xfId="0" applyNumberFormat="1" applyFill="1" applyBorder="1" applyAlignment="1">
      <alignment/>
    </xf>
    <xf numFmtId="0" fontId="0" fillId="42" borderId="0" xfId="0" applyFill="1" applyBorder="1" applyAlignment="1">
      <alignment wrapText="1"/>
    </xf>
    <xf numFmtId="0" fontId="0" fillId="44" borderId="0" xfId="0" applyFill="1" applyBorder="1" applyAlignment="1">
      <alignment wrapText="1"/>
    </xf>
    <xf numFmtId="0" fontId="0" fillId="0" borderId="0" xfId="0" applyFont="1" applyFill="1" applyBorder="1" applyAlignment="1">
      <alignment wrapText="1"/>
    </xf>
    <xf numFmtId="0" fontId="0" fillId="0" borderId="16" xfId="0" applyFill="1" applyBorder="1" applyAlignment="1">
      <alignment wrapText="1"/>
    </xf>
    <xf numFmtId="49" fontId="0" fillId="39" borderId="16" xfId="0" applyNumberFormat="1" applyFont="1" applyFill="1" applyBorder="1" applyAlignment="1">
      <alignment horizontal="center" wrapText="1"/>
    </xf>
    <xf numFmtId="0" fontId="0" fillId="37" borderId="16" xfId="0" applyFill="1" applyBorder="1" applyAlignment="1">
      <alignment wrapText="1"/>
    </xf>
    <xf numFmtId="0" fontId="0" fillId="0" borderId="16" xfId="0" applyBorder="1" applyAlignment="1">
      <alignment wrapText="1"/>
    </xf>
    <xf numFmtId="0" fontId="0" fillId="33" borderId="16" xfId="0" applyFont="1" applyFill="1" applyBorder="1" applyAlignment="1">
      <alignment wrapText="1"/>
    </xf>
    <xf numFmtId="0" fontId="0" fillId="33" borderId="16" xfId="0" applyFill="1" applyBorder="1" applyAlignment="1">
      <alignment wrapText="1"/>
    </xf>
    <xf numFmtId="172" fontId="0" fillId="42" borderId="0" xfId="0" applyNumberFormat="1" applyFill="1" applyAlignment="1">
      <alignment wrapText="1"/>
    </xf>
    <xf numFmtId="49" fontId="5" fillId="0" borderId="0" xfId="0" applyNumberFormat="1" applyFont="1" applyFill="1" applyAlignment="1">
      <alignment wrapText="1"/>
    </xf>
    <xf numFmtId="49" fontId="4" fillId="0" borderId="0" xfId="0" applyNumberFormat="1" applyFont="1" applyFill="1" applyAlignment="1">
      <alignment wrapText="1"/>
    </xf>
    <xf numFmtId="0" fontId="4" fillId="0" borderId="0" xfId="0" applyFont="1" applyFill="1" applyAlignment="1">
      <alignment horizontal="center" wrapText="1"/>
    </xf>
    <xf numFmtId="49" fontId="1" fillId="0" borderId="0" xfId="0" applyNumberFormat="1" applyFont="1" applyFill="1" applyAlignment="1">
      <alignment wrapText="1"/>
    </xf>
    <xf numFmtId="0" fontId="4" fillId="54" borderId="0" xfId="0" applyFont="1" applyFill="1" applyAlignment="1">
      <alignment horizontal="center" wrapText="1"/>
    </xf>
    <xf numFmtId="0" fontId="4" fillId="42" borderId="0" xfId="0" applyFont="1" applyFill="1" applyAlignment="1">
      <alignment horizontal="center" wrapText="1"/>
    </xf>
    <xf numFmtId="0" fontId="0" fillId="48" borderId="0" xfId="0" applyFill="1" applyAlignment="1">
      <alignment horizontal="center"/>
    </xf>
    <xf numFmtId="172" fontId="1" fillId="0" borderId="0" xfId="0" applyNumberFormat="1" applyFont="1" applyFill="1" applyBorder="1" applyAlignment="1">
      <alignment horizontal="center" wrapText="1"/>
    </xf>
    <xf numFmtId="173" fontId="0" fillId="33" borderId="0" xfId="0" applyNumberFormat="1" applyFill="1" applyAlignment="1">
      <alignment horizontal="center"/>
    </xf>
    <xf numFmtId="172" fontId="0" fillId="55" borderId="0" xfId="96" applyNumberFormat="1" applyFill="1">
      <alignment/>
      <protection/>
    </xf>
    <xf numFmtId="172" fontId="0" fillId="55" borderId="0" xfId="96" applyNumberFormat="1" applyFill="1" applyBorder="1" applyAlignment="1">
      <alignment horizontal="center" wrapText="1"/>
      <protection/>
    </xf>
    <xf numFmtId="172" fontId="1" fillId="55" borderId="0" xfId="96" applyNumberFormat="1" applyFont="1" applyFill="1" applyBorder="1" applyAlignment="1" applyProtection="1">
      <alignment horizontal="center"/>
      <protection locked="0"/>
    </xf>
    <xf numFmtId="0" fontId="1" fillId="33" borderId="0" xfId="96" applyFont="1" applyFill="1" applyAlignment="1" applyProtection="1">
      <alignment horizontal="center"/>
      <protection locked="0"/>
    </xf>
    <xf numFmtId="0" fontId="15" fillId="33" borderId="0" xfId="96" applyFont="1" applyFill="1" applyBorder="1" applyAlignment="1" applyProtection="1">
      <alignment horizontal="center"/>
      <protection locked="0"/>
    </xf>
    <xf numFmtId="0" fontId="15" fillId="33" borderId="0" xfId="96" applyFont="1" applyFill="1" applyAlignment="1" applyProtection="1">
      <alignment horizontal="center"/>
      <protection locked="0"/>
    </xf>
    <xf numFmtId="1" fontId="0" fillId="44" borderId="0" xfId="0" applyNumberFormat="1" applyFill="1" applyAlignment="1">
      <alignment horizontal="center" vertical="center" wrapText="1"/>
    </xf>
    <xf numFmtId="0" fontId="1" fillId="33" borderId="0" xfId="96" applyFont="1" applyFill="1" applyBorder="1" applyAlignment="1" applyProtection="1">
      <alignment horizontal="center"/>
      <protection locked="0"/>
    </xf>
    <xf numFmtId="1" fontId="0" fillId="33" borderId="0" xfId="0" applyNumberFormat="1" applyFill="1" applyAlignment="1">
      <alignment wrapText="1"/>
    </xf>
    <xf numFmtId="0" fontId="1" fillId="33" borderId="0" xfId="0" applyFont="1" applyFill="1" applyAlignment="1">
      <alignment horizontal="left" wrapText="1"/>
    </xf>
    <xf numFmtId="0" fontId="0" fillId="34" borderId="0" xfId="0" applyFill="1" applyAlignment="1" applyProtection="1">
      <alignment horizontal="left" vertical="center"/>
      <protection locked="0"/>
    </xf>
    <xf numFmtId="0" fontId="0" fillId="0" borderId="0" xfId="0" applyFill="1" applyAlignment="1">
      <alignment horizontal="left"/>
    </xf>
    <xf numFmtId="2" fontId="0" fillId="44" borderId="0" xfId="0" applyNumberFormat="1" applyFill="1" applyAlignment="1">
      <alignment wrapText="1"/>
    </xf>
    <xf numFmtId="1" fontId="0" fillId="34" borderId="0" xfId="0" applyNumberFormat="1" applyFill="1" applyAlignment="1">
      <alignment horizontal="left" wrapText="1"/>
    </xf>
    <xf numFmtId="0" fontId="0" fillId="34" borderId="0" xfId="0" applyNumberFormat="1" applyFill="1" applyAlignment="1">
      <alignment horizontal="left"/>
    </xf>
    <xf numFmtId="0" fontId="0" fillId="34" borderId="0" xfId="0" applyFill="1" applyAlignment="1">
      <alignment horizontal="left" vertical="center"/>
    </xf>
    <xf numFmtId="49" fontId="4" fillId="33" borderId="0" xfId="0" applyNumberFormat="1" applyFont="1" applyFill="1" applyAlignment="1">
      <alignment horizontal="left" wrapText="1"/>
    </xf>
    <xf numFmtId="49" fontId="5" fillId="0" borderId="0" xfId="0" applyNumberFormat="1" applyFont="1" applyAlignment="1">
      <alignment horizontal="left" wrapText="1"/>
    </xf>
    <xf numFmtId="0" fontId="0" fillId="0" borderId="0" xfId="0" applyAlignment="1">
      <alignment horizontal="left" wrapText="1"/>
    </xf>
    <xf numFmtId="1" fontId="0" fillId="34" borderId="0" xfId="0" applyNumberFormat="1" applyFill="1" applyAlignment="1">
      <alignment horizontal="left" vertical="center" wrapText="1"/>
    </xf>
    <xf numFmtId="9" fontId="1" fillId="52" borderId="0" xfId="96" applyNumberFormat="1" applyFont="1" applyFill="1" applyBorder="1" applyAlignment="1" applyProtection="1">
      <alignment horizontal="center"/>
      <protection locked="0"/>
    </xf>
    <xf numFmtId="0" fontId="1" fillId="52" borderId="0" xfId="96" applyFont="1" applyFill="1" applyAlignment="1" applyProtection="1">
      <alignment horizontal="center"/>
      <protection locked="0"/>
    </xf>
    <xf numFmtId="0" fontId="15" fillId="52" borderId="0" xfId="96" applyFont="1" applyFill="1" applyAlignment="1" applyProtection="1">
      <alignment horizontal="center"/>
      <protection locked="0"/>
    </xf>
    <xf numFmtId="0" fontId="0" fillId="39" borderId="0" xfId="0" applyFill="1" applyBorder="1" applyAlignment="1">
      <alignment horizontal="center"/>
    </xf>
    <xf numFmtId="0" fontId="15" fillId="46" borderId="0" xfId="0" applyFont="1" applyFill="1" applyBorder="1" applyAlignment="1" applyProtection="1">
      <alignment horizontal="left" vertical="center" wrapText="1"/>
      <protection locked="0"/>
    </xf>
    <xf numFmtId="1" fontId="0" fillId="39" borderId="0" xfId="0" applyNumberFormat="1" applyFont="1" applyFill="1" applyBorder="1" applyAlignment="1">
      <alignment horizontal="center"/>
    </xf>
    <xf numFmtId="1" fontId="0" fillId="39" borderId="0" xfId="97" applyNumberFormat="1" applyFill="1" applyBorder="1" applyAlignment="1">
      <alignment horizontal="center"/>
      <protection/>
    </xf>
    <xf numFmtId="1" fontId="0" fillId="39" borderId="0" xfId="0" applyNumberFormat="1" applyFont="1" applyFill="1" applyBorder="1" applyAlignment="1">
      <alignment horizontal="center" vertical="center" wrapText="1"/>
    </xf>
    <xf numFmtId="1" fontId="0" fillId="39" borderId="0" xfId="0" applyNumberFormat="1" applyFont="1" applyFill="1" applyBorder="1" applyAlignment="1" applyProtection="1">
      <alignment horizontal="center" vertical="center" wrapText="1"/>
      <protection locked="0"/>
    </xf>
    <xf numFmtId="1" fontId="0" fillId="39" borderId="0" xfId="0" applyNumberFormat="1" applyFill="1" applyBorder="1" applyAlignment="1">
      <alignment horizontal="center"/>
    </xf>
    <xf numFmtId="0" fontId="0" fillId="33" borderId="0" xfId="0" applyFont="1" applyFill="1" applyBorder="1" applyAlignment="1">
      <alignment horizontal="center" vertical="center" wrapText="1"/>
    </xf>
    <xf numFmtId="1" fontId="0" fillId="33" borderId="0" xfId="97" applyNumberFormat="1" applyFill="1" applyBorder="1" applyAlignment="1">
      <alignment horizontal="center"/>
      <protection/>
    </xf>
    <xf numFmtId="0" fontId="0" fillId="39" borderId="0" xfId="0" applyFont="1" applyFill="1" applyBorder="1" applyAlignment="1">
      <alignment horizontal="center" vertical="center"/>
    </xf>
    <xf numFmtId="1" fontId="0" fillId="39" borderId="0" xfId="0" applyNumberFormat="1" applyFont="1" applyFill="1" applyBorder="1" applyAlignment="1">
      <alignment horizontal="center" vertical="center"/>
    </xf>
    <xf numFmtId="0" fontId="0" fillId="39" borderId="0" xfId="0" applyFont="1" applyFill="1" applyBorder="1" applyAlignment="1" applyProtection="1">
      <alignment horizontal="center" vertical="center" wrapText="1" shrinkToFit="1"/>
      <protection locked="0"/>
    </xf>
    <xf numFmtId="0" fontId="15" fillId="39" borderId="0" xfId="0" applyFont="1" applyFill="1" applyBorder="1" applyAlignment="1" applyProtection="1">
      <alignment horizontal="center" vertical="center" wrapText="1"/>
      <protection locked="0"/>
    </xf>
    <xf numFmtId="1" fontId="19" fillId="39" borderId="0" xfId="0" applyNumberFormat="1" applyFont="1" applyFill="1" applyBorder="1" applyAlignment="1" applyProtection="1">
      <alignment horizontal="center" vertical="center" wrapText="1"/>
      <protection locked="0"/>
    </xf>
    <xf numFmtId="1" fontId="0" fillId="42" borderId="0" xfId="0" applyNumberFormat="1" applyFont="1" applyFill="1" applyBorder="1" applyAlignment="1" applyProtection="1">
      <alignment horizontal="center" vertical="center" wrapText="1"/>
      <protection locked="0"/>
    </xf>
    <xf numFmtId="1" fontId="0" fillId="33" borderId="0" xfId="0" applyNumberFormat="1" applyFont="1" applyFill="1" applyBorder="1" applyAlignment="1">
      <alignment horizontal="center" vertical="center" wrapText="1"/>
    </xf>
    <xf numFmtId="1" fontId="0" fillId="42" borderId="0" xfId="0" applyNumberFormat="1" applyFont="1" applyFill="1" applyBorder="1" applyAlignment="1">
      <alignment horizontal="center" vertical="center" wrapText="1"/>
    </xf>
    <xf numFmtId="1" fontId="0" fillId="42" borderId="0" xfId="0" applyNumberFormat="1" applyFont="1" applyFill="1" applyBorder="1" applyAlignment="1">
      <alignment horizontal="center" vertical="center"/>
    </xf>
    <xf numFmtId="1" fontId="0" fillId="33" borderId="0" xfId="0" applyNumberFormat="1" applyFont="1" applyFill="1" applyBorder="1" applyAlignment="1">
      <alignment horizontal="center" vertical="center"/>
    </xf>
    <xf numFmtId="1" fontId="6" fillId="33" borderId="0" xfId="0" applyNumberFormat="1" applyFont="1" applyFill="1" applyBorder="1" applyAlignment="1">
      <alignment horizontal="center" vertical="center" wrapText="1"/>
    </xf>
    <xf numFmtId="0" fontId="0" fillId="43" borderId="0" xfId="74" applyFill="1">
      <alignment/>
      <protection/>
    </xf>
    <xf numFmtId="0" fontId="1" fillId="43" borderId="0" xfId="74" applyFont="1" applyFill="1" applyAlignment="1" applyProtection="1">
      <alignment horizontal="right"/>
      <protection locked="0"/>
    </xf>
    <xf numFmtId="0" fontId="0" fillId="42" borderId="0" xfId="74" applyFill="1">
      <alignment/>
      <protection/>
    </xf>
    <xf numFmtId="0" fontId="1" fillId="43" borderId="0" xfId="74" applyFont="1" applyFill="1" applyBorder="1" applyAlignment="1" applyProtection="1">
      <alignment horizontal="right"/>
      <protection locked="0"/>
    </xf>
    <xf numFmtId="0" fontId="0" fillId="43" borderId="0" xfId="74" applyFill="1" applyAlignment="1">
      <alignment horizontal="right"/>
      <protection/>
    </xf>
    <xf numFmtId="0" fontId="0" fillId="44" borderId="0" xfId="0" applyFill="1" applyAlignment="1" applyProtection="1">
      <alignment horizontal="right"/>
      <protection locked="0"/>
    </xf>
    <xf numFmtId="0" fontId="0" fillId="44" borderId="0" xfId="0" applyFill="1" applyAlignment="1" applyProtection="1">
      <alignment/>
      <protection locked="0"/>
    </xf>
    <xf numFmtId="175" fontId="0" fillId="44" borderId="0" xfId="0" applyNumberFormat="1" applyFill="1" applyAlignment="1" applyProtection="1">
      <alignment/>
      <protection locked="0"/>
    </xf>
    <xf numFmtId="9" fontId="0" fillId="44" borderId="0" xfId="120" applyNumberFormat="1" applyFont="1" applyFill="1" applyAlignment="1" applyProtection="1">
      <alignment/>
      <protection locked="0"/>
    </xf>
    <xf numFmtId="1" fontId="0" fillId="44" borderId="0" xfId="0" applyNumberFormat="1" applyFill="1" applyAlignment="1">
      <alignment/>
    </xf>
    <xf numFmtId="2" fontId="0" fillId="44" borderId="0" xfId="0" applyNumberFormat="1" applyFill="1" applyAlignment="1">
      <alignment/>
    </xf>
    <xf numFmtId="0" fontId="0" fillId="44" borderId="0" xfId="0" applyNumberFormat="1" applyFill="1" applyAlignment="1">
      <alignment wrapText="1"/>
    </xf>
    <xf numFmtId="0" fontId="0" fillId="44" borderId="16" xfId="0" applyFill="1" applyBorder="1" applyAlignment="1" applyProtection="1">
      <alignment vertical="top" wrapText="1"/>
      <protection locked="0"/>
    </xf>
    <xf numFmtId="0" fontId="0" fillId="44" borderId="0" xfId="61" applyFill="1" applyBorder="1" applyAlignment="1" applyProtection="1">
      <alignment horizontal="center" vertical="top" wrapText="1"/>
      <protection locked="0"/>
    </xf>
    <xf numFmtId="0" fontId="0" fillId="44" borderId="0" xfId="61" applyFont="1" applyFill="1" applyBorder="1" applyAlignment="1" applyProtection="1">
      <alignment horizontal="center" vertical="top" wrapText="1"/>
      <protection locked="0"/>
    </xf>
    <xf numFmtId="0" fontId="0" fillId="44" borderId="0" xfId="0" applyFill="1" applyBorder="1" applyAlignment="1">
      <alignment/>
    </xf>
    <xf numFmtId="0" fontId="0" fillId="44" borderId="16" xfId="0" applyFill="1" applyBorder="1" applyAlignment="1">
      <alignment wrapText="1"/>
    </xf>
    <xf numFmtId="2" fontId="0" fillId="44" borderId="0" xfId="0" applyNumberFormat="1" applyFill="1" applyBorder="1" applyAlignment="1">
      <alignment/>
    </xf>
    <xf numFmtId="0" fontId="16" fillId="44" borderId="0" xfId="0" applyFont="1" applyFill="1" applyAlignment="1" applyProtection="1">
      <alignment horizontal="center" textRotation="2"/>
      <protection/>
    </xf>
    <xf numFmtId="0" fontId="0" fillId="44" borderId="0" xfId="0" applyFont="1" applyFill="1" applyAlignment="1">
      <alignment horizontal="center" vertical="center" wrapText="1"/>
    </xf>
    <xf numFmtId="0" fontId="0" fillId="44" borderId="0" xfId="0" applyFont="1" applyFill="1" applyBorder="1" applyAlignment="1">
      <alignment horizontal="center" vertical="center" wrapText="1"/>
    </xf>
    <xf numFmtId="1" fontId="0" fillId="44" borderId="0" xfId="97" applyNumberFormat="1" applyFill="1" applyBorder="1" applyAlignment="1">
      <alignment horizontal="center"/>
      <protection/>
    </xf>
    <xf numFmtId="0" fontId="19" fillId="44" borderId="0" xfId="0" applyFont="1" applyFill="1" applyBorder="1" applyAlignment="1" applyProtection="1">
      <alignment horizontal="center" vertical="center" wrapText="1"/>
      <protection locked="0"/>
    </xf>
    <xf numFmtId="0" fontId="19" fillId="44" borderId="15" xfId="0" applyFont="1" applyFill="1" applyBorder="1" applyAlignment="1" applyProtection="1">
      <alignment horizontal="center" vertical="center" wrapText="1"/>
      <protection locked="0"/>
    </xf>
    <xf numFmtId="0" fontId="0" fillId="44" borderId="15" xfId="0" applyFont="1" applyFill="1" applyBorder="1" applyAlignment="1">
      <alignment horizontal="center" vertical="center" wrapText="1"/>
    </xf>
    <xf numFmtId="0" fontId="19" fillId="44" borderId="0" xfId="0" applyFont="1" applyFill="1" applyAlignment="1" applyProtection="1">
      <alignment horizontal="center" vertical="center" wrapText="1"/>
      <protection locked="0"/>
    </xf>
    <xf numFmtId="0" fontId="1" fillId="0" borderId="0" xfId="0" applyFont="1" applyAlignment="1">
      <alignment/>
    </xf>
    <xf numFmtId="0" fontId="0" fillId="55" borderId="0" xfId="0" applyFill="1" applyAlignment="1">
      <alignment/>
    </xf>
    <xf numFmtId="0" fontId="0" fillId="55" borderId="0" xfId="74" applyFill="1">
      <alignment/>
      <protection/>
    </xf>
    <xf numFmtId="0" fontId="1" fillId="55" borderId="0" xfId="74" applyFont="1" applyFill="1" applyAlignment="1" applyProtection="1">
      <alignment horizontal="right"/>
      <protection locked="0"/>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10" xfId="0" applyBorder="1" applyAlignment="1">
      <alignment/>
    </xf>
    <xf numFmtId="0" fontId="0" fillId="0" borderId="12" xfId="0" applyBorder="1" applyAlignment="1">
      <alignment/>
    </xf>
    <xf numFmtId="0" fontId="0" fillId="0" borderId="11" xfId="0" applyBorder="1" applyAlignment="1">
      <alignment/>
    </xf>
    <xf numFmtId="0" fontId="0" fillId="0" borderId="20" xfId="0" applyBorder="1" applyAlignment="1">
      <alignment/>
    </xf>
    <xf numFmtId="0" fontId="26" fillId="0" borderId="0" xfId="0" applyFont="1" applyAlignment="1">
      <alignment/>
    </xf>
    <xf numFmtId="0" fontId="26" fillId="0" borderId="0" xfId="0" applyFont="1" applyAlignment="1">
      <alignment wrapText="1"/>
    </xf>
    <xf numFmtId="2" fontId="0" fillId="0" borderId="0" xfId="96" applyNumberFormat="1" applyFill="1">
      <alignment/>
      <protection/>
    </xf>
    <xf numFmtId="2" fontId="0" fillId="0" borderId="0" xfId="96" applyNumberFormat="1" applyFill="1" applyBorder="1" applyAlignment="1">
      <alignment horizontal="center" wrapText="1"/>
      <protection/>
    </xf>
    <xf numFmtId="2" fontId="1" fillId="0" borderId="0" xfId="96" applyNumberFormat="1" applyFont="1" applyFill="1" applyBorder="1" applyAlignment="1" applyProtection="1">
      <alignment horizontal="center"/>
      <protection locked="0"/>
    </xf>
    <xf numFmtId="2" fontId="0" fillId="0" borderId="0" xfId="96" applyNumberFormat="1">
      <alignment/>
      <protection/>
    </xf>
    <xf numFmtId="172" fontId="1" fillId="0" borderId="0" xfId="96" applyNumberFormat="1" applyFont="1" applyFill="1" applyBorder="1" applyAlignment="1" applyProtection="1">
      <alignment horizontal="center"/>
      <protection locked="0"/>
    </xf>
    <xf numFmtId="0" fontId="1" fillId="55" borderId="10" xfId="96" applyFont="1" applyFill="1" applyBorder="1" applyAlignment="1" applyProtection="1">
      <alignment horizontal="center"/>
      <protection locked="0"/>
    </xf>
    <xf numFmtId="0" fontId="1" fillId="55" borderId="0" xfId="96" applyFont="1" applyFill="1" applyBorder="1" applyAlignment="1" applyProtection="1">
      <alignment horizontal="center"/>
      <protection locked="0"/>
    </xf>
    <xf numFmtId="172" fontId="0" fillId="54" borderId="0" xfId="96" applyNumberFormat="1" applyFill="1">
      <alignment/>
      <protection/>
    </xf>
    <xf numFmtId="172" fontId="1" fillId="54" borderId="0" xfId="96" applyNumberFormat="1" applyFont="1" applyFill="1" applyBorder="1" applyAlignment="1" applyProtection="1">
      <alignment horizontal="center"/>
      <protection locked="0"/>
    </xf>
    <xf numFmtId="172" fontId="1" fillId="54" borderId="0" xfId="96" applyNumberFormat="1" applyFont="1" applyFill="1" applyBorder="1" applyAlignment="1" applyProtection="1">
      <alignment horizontal="center" wrapText="1"/>
      <protection locked="0"/>
    </xf>
    <xf numFmtId="172" fontId="0" fillId="33" borderId="0" xfId="0" applyNumberFormat="1" applyFill="1" applyAlignment="1">
      <alignment horizontal="center" wrapText="1"/>
    </xf>
    <xf numFmtId="2" fontId="0" fillId="33" borderId="0" xfId="0" applyNumberFormat="1" applyFill="1" applyAlignment="1">
      <alignment wrapText="1"/>
    </xf>
    <xf numFmtId="173" fontId="0" fillId="38" borderId="0" xfId="0" applyNumberFormat="1" applyFill="1" applyAlignment="1">
      <alignment/>
    </xf>
    <xf numFmtId="1" fontId="0" fillId="0" borderId="0" xfId="0" applyNumberFormat="1" applyAlignment="1">
      <alignment wrapText="1"/>
    </xf>
    <xf numFmtId="183" fontId="0" fillId="37" borderId="0" xfId="0" applyNumberFormat="1" applyFill="1" applyAlignment="1">
      <alignment wrapText="1"/>
    </xf>
    <xf numFmtId="2" fontId="0" fillId="0" borderId="0" xfId="0" applyNumberFormat="1" applyAlignment="1">
      <alignment wrapText="1"/>
    </xf>
    <xf numFmtId="10" fontId="0" fillId="46" borderId="0" xfId="0" applyNumberFormat="1" applyFill="1" applyAlignment="1">
      <alignment/>
    </xf>
    <xf numFmtId="10" fontId="0" fillId="37" borderId="0" xfId="0" applyNumberFormat="1" applyFill="1" applyAlignment="1">
      <alignment/>
    </xf>
    <xf numFmtId="10" fontId="0" fillId="43" borderId="0" xfId="0" applyNumberFormat="1" applyFill="1" applyAlignment="1">
      <alignment/>
    </xf>
    <xf numFmtId="10" fontId="0" fillId="49" borderId="0" xfId="0" applyNumberFormat="1" applyFill="1" applyAlignment="1">
      <alignment/>
    </xf>
    <xf numFmtId="10" fontId="0" fillId="40" borderId="0" xfId="0" applyNumberFormat="1" applyFill="1" applyAlignment="1">
      <alignment/>
    </xf>
    <xf numFmtId="10" fontId="0" fillId="44" borderId="0" xfId="0" applyNumberFormat="1" applyFill="1" applyAlignment="1">
      <alignment/>
    </xf>
    <xf numFmtId="10" fontId="0" fillId="42" borderId="0" xfId="0" applyNumberFormat="1" applyFill="1" applyAlignment="1">
      <alignment/>
    </xf>
    <xf numFmtId="0" fontId="27" fillId="46" borderId="0" xfId="0" applyFont="1" applyFill="1" applyAlignment="1">
      <alignment wrapText="1"/>
    </xf>
    <xf numFmtId="183" fontId="0" fillId="37" borderId="0" xfId="0" applyNumberFormat="1" applyFill="1" applyAlignment="1">
      <alignment/>
    </xf>
    <xf numFmtId="183" fontId="0" fillId="37" borderId="0" xfId="0" applyNumberFormat="1" applyFill="1" applyAlignment="1">
      <alignment horizontal="right" vertical="center"/>
    </xf>
    <xf numFmtId="183" fontId="0" fillId="37" borderId="0" xfId="0" applyNumberFormat="1" applyFill="1" applyAlignment="1">
      <alignment horizontal="right" vertical="center" wrapText="1"/>
    </xf>
    <xf numFmtId="183" fontId="0" fillId="37" borderId="0" xfId="0" applyNumberFormat="1" applyFill="1" applyAlignment="1">
      <alignment horizontal="right"/>
    </xf>
    <xf numFmtId="9" fontId="0" fillId="0" borderId="0" xfId="0" applyNumberFormat="1" applyAlignment="1">
      <alignment/>
    </xf>
    <xf numFmtId="1" fontId="0" fillId="0" borderId="0" xfId="0" applyNumberFormat="1" applyAlignment="1">
      <alignment/>
    </xf>
    <xf numFmtId="3" fontId="0" fillId="0" borderId="0" xfId="0" applyNumberFormat="1" applyAlignment="1">
      <alignment/>
    </xf>
    <xf numFmtId="175" fontId="0" fillId="0" borderId="0" xfId="0" applyNumberFormat="1" applyAlignment="1">
      <alignment wrapText="1"/>
    </xf>
    <xf numFmtId="172" fontId="0" fillId="34" borderId="0" xfId="0" applyNumberFormat="1" applyFill="1" applyAlignment="1">
      <alignment wrapText="1"/>
    </xf>
    <xf numFmtId="9" fontId="0" fillId="33" borderId="0" xfId="0" applyNumberFormat="1" applyFill="1" applyAlignment="1">
      <alignment wrapText="1"/>
    </xf>
    <xf numFmtId="9" fontId="0" fillId="33" borderId="0" xfId="0" applyNumberFormat="1" applyFill="1" applyAlignment="1">
      <alignment/>
    </xf>
    <xf numFmtId="1" fontId="0" fillId="33" borderId="0" xfId="0" applyNumberFormat="1" applyFill="1" applyAlignment="1">
      <alignment horizontal="center" wrapText="1"/>
    </xf>
    <xf numFmtId="175" fontId="0" fillId="33" borderId="0" xfId="0" applyNumberFormat="1" applyFill="1" applyAlignment="1">
      <alignment wrapText="1"/>
    </xf>
    <xf numFmtId="175" fontId="0" fillId="33" borderId="0" xfId="0" applyNumberFormat="1" applyFill="1" applyAlignment="1">
      <alignment/>
    </xf>
    <xf numFmtId="183" fontId="0" fillId="38" borderId="0" xfId="0" applyNumberFormat="1" applyFill="1" applyAlignment="1">
      <alignment wrapText="1"/>
    </xf>
    <xf numFmtId="173" fontId="0" fillId="0" borderId="0" xfId="0" applyNumberFormat="1" applyAlignment="1">
      <alignment/>
    </xf>
    <xf numFmtId="183" fontId="0" fillId="0" borderId="0" xfId="0" applyNumberFormat="1" applyAlignment="1">
      <alignment/>
    </xf>
    <xf numFmtId="175" fontId="0" fillId="0" borderId="0" xfId="0" applyNumberFormat="1" applyAlignment="1">
      <alignment/>
    </xf>
    <xf numFmtId="0" fontId="0" fillId="0" borderId="0" xfId="74" applyFill="1">
      <alignment/>
      <protection/>
    </xf>
    <xf numFmtId="0" fontId="1" fillId="0" borderId="0" xfId="74" applyFont="1" applyFill="1" applyAlignment="1" applyProtection="1">
      <alignment horizontal="right"/>
      <protection locked="0"/>
    </xf>
    <xf numFmtId="173" fontId="0" fillId="34" borderId="0" xfId="0" applyNumberFormat="1" applyFill="1" applyAlignment="1">
      <alignment horizontal="center" vertical="center" wrapText="1"/>
    </xf>
    <xf numFmtId="1" fontId="0" fillId="33" borderId="0" xfId="0" applyNumberFormat="1" applyFont="1" applyFill="1" applyBorder="1" applyAlignment="1">
      <alignment horizontal="center"/>
    </xf>
    <xf numFmtId="1" fontId="0" fillId="39" borderId="0" xfId="0" applyNumberFormat="1" applyFill="1" applyAlignment="1">
      <alignment horizontal="center"/>
    </xf>
    <xf numFmtId="0" fontId="0" fillId="33" borderId="0" xfId="0" applyFill="1" applyBorder="1" applyAlignment="1">
      <alignment horizontal="center"/>
    </xf>
    <xf numFmtId="1" fontId="28" fillId="39" borderId="0" xfId="0" applyNumberFormat="1" applyFont="1" applyFill="1" applyBorder="1" applyAlignment="1">
      <alignment horizontal="center" vertical="center" wrapText="1"/>
    </xf>
    <xf numFmtId="0" fontId="0" fillId="33" borderId="0" xfId="0" applyFont="1" applyFill="1" applyAlignment="1">
      <alignment horizontal="center"/>
    </xf>
    <xf numFmtId="0" fontId="0" fillId="33" borderId="0" xfId="0" applyFont="1" applyFill="1" applyBorder="1" applyAlignment="1">
      <alignment horizontal="center"/>
    </xf>
    <xf numFmtId="1" fontId="0" fillId="33" borderId="0" xfId="0" applyNumberFormat="1" applyFill="1" applyBorder="1" applyAlignment="1">
      <alignment horizontal="center"/>
    </xf>
    <xf numFmtId="0" fontId="0" fillId="33" borderId="0" xfId="0" applyFont="1" applyFill="1" applyBorder="1" applyAlignment="1" applyProtection="1">
      <alignment horizontal="center" vertical="center" wrapText="1"/>
      <protection locked="0"/>
    </xf>
    <xf numFmtId="0" fontId="0" fillId="39" borderId="0" xfId="0" applyFont="1" applyFill="1" applyBorder="1" applyAlignment="1" applyProtection="1">
      <alignment horizontal="center"/>
      <protection locked="0"/>
    </xf>
    <xf numFmtId="0" fontId="0" fillId="0" borderId="0" xfId="0" applyFill="1" applyAlignment="1">
      <alignment horizontal="center"/>
    </xf>
    <xf numFmtId="2" fontId="0" fillId="0" borderId="0" xfId="0" applyNumberFormat="1" applyFill="1" applyAlignment="1">
      <alignment wrapText="1"/>
    </xf>
    <xf numFmtId="172" fontId="0" fillId="34" borderId="0" xfId="0" applyNumberFormat="1" applyFill="1" applyAlignment="1">
      <alignment horizontal="center" vertical="center" wrapText="1"/>
    </xf>
    <xf numFmtId="9" fontId="0" fillId="33" borderId="0" xfId="0" applyNumberFormat="1" applyFill="1" applyAlignment="1">
      <alignment/>
    </xf>
    <xf numFmtId="173" fontId="0" fillId="33" borderId="0" xfId="0" applyNumberFormat="1" applyFill="1" applyAlignment="1">
      <alignment/>
    </xf>
    <xf numFmtId="183" fontId="0" fillId="33" borderId="0" xfId="0" applyNumberFormat="1" applyFill="1" applyAlignment="1">
      <alignment/>
    </xf>
    <xf numFmtId="175" fontId="0" fillId="33" borderId="0" xfId="0" applyNumberFormat="1" applyFill="1" applyAlignment="1">
      <alignment/>
    </xf>
    <xf numFmtId="2" fontId="0" fillId="33" borderId="0" xfId="0" applyNumberFormat="1" applyFill="1" applyAlignment="1">
      <alignment/>
    </xf>
    <xf numFmtId="172" fontId="0" fillId="43" borderId="0" xfId="0" applyNumberFormat="1" applyFill="1" applyAlignment="1">
      <alignment/>
    </xf>
    <xf numFmtId="172" fontId="0" fillId="43" borderId="0" xfId="0" applyNumberFormat="1" applyFill="1" applyAlignment="1">
      <alignment wrapText="1"/>
    </xf>
    <xf numFmtId="1" fontId="0" fillId="43" borderId="0" xfId="0" applyNumberFormat="1" applyFill="1" applyAlignment="1">
      <alignment wrapText="1"/>
    </xf>
    <xf numFmtId="0" fontId="0" fillId="34" borderId="0" xfId="0" applyFill="1" applyBorder="1" applyAlignment="1">
      <alignment/>
    </xf>
    <xf numFmtId="9" fontId="0" fillId="34" borderId="0" xfId="0" applyNumberFormat="1" applyFill="1" applyBorder="1" applyAlignment="1">
      <alignment/>
    </xf>
    <xf numFmtId="0" fontId="0" fillId="34" borderId="0" xfId="0" applyFill="1" applyBorder="1" applyAlignment="1">
      <alignment horizontal="center"/>
    </xf>
    <xf numFmtId="3" fontId="0" fillId="0" borderId="0" xfId="0" applyNumberFormat="1" applyFill="1" applyAlignment="1">
      <alignment/>
    </xf>
    <xf numFmtId="9" fontId="0" fillId="0" borderId="0" xfId="0" applyNumberFormat="1" applyFill="1" applyAlignment="1">
      <alignment/>
    </xf>
    <xf numFmtId="173" fontId="0" fillId="0" borderId="0" xfId="0" applyNumberFormat="1" applyFill="1" applyAlignment="1">
      <alignment/>
    </xf>
    <xf numFmtId="183" fontId="0" fillId="0" borderId="0" xfId="0" applyNumberFormat="1" applyFill="1" applyAlignment="1">
      <alignment wrapText="1"/>
    </xf>
    <xf numFmtId="10" fontId="0" fillId="33" borderId="0" xfId="0" applyNumberFormat="1" applyFill="1" applyAlignment="1">
      <alignment horizontal="center" vertical="center" wrapText="1"/>
    </xf>
    <xf numFmtId="9" fontId="0" fillId="33" borderId="0" xfId="0" applyNumberFormat="1" applyFill="1" applyAlignment="1">
      <alignment horizontal="center"/>
    </xf>
    <xf numFmtId="10" fontId="0" fillId="35" borderId="0" xfId="0" applyNumberFormat="1" applyFill="1" applyAlignment="1">
      <alignment horizontal="center"/>
    </xf>
    <xf numFmtId="1" fontId="0" fillId="34" borderId="0" xfId="0" applyNumberFormat="1" applyFill="1" applyAlignment="1" applyProtection="1">
      <alignment horizontal="center" vertical="center"/>
      <protection locked="0"/>
    </xf>
    <xf numFmtId="9" fontId="0" fillId="34" borderId="0" xfId="0" applyNumberFormat="1" applyFill="1" applyAlignment="1">
      <alignment horizontal="center"/>
    </xf>
    <xf numFmtId="0" fontId="0" fillId="35" borderId="0" xfId="0" applyFill="1" applyBorder="1" applyAlignment="1">
      <alignment horizontal="center"/>
    </xf>
    <xf numFmtId="9" fontId="0" fillId="35" borderId="0" xfId="0" applyNumberFormat="1" applyFill="1" applyBorder="1" applyAlignment="1">
      <alignment horizontal="center"/>
    </xf>
    <xf numFmtId="9" fontId="0" fillId="34" borderId="0" xfId="0" applyNumberFormat="1" applyFill="1" applyBorder="1" applyAlignment="1">
      <alignment horizontal="center"/>
    </xf>
    <xf numFmtId="0" fontId="0" fillId="43" borderId="16" xfId="0" applyFill="1" applyBorder="1" applyAlignment="1">
      <alignment wrapText="1"/>
    </xf>
    <xf numFmtId="2" fontId="0" fillId="43" borderId="0" xfId="0" applyNumberFormat="1" applyFill="1" applyAlignment="1">
      <alignment wrapText="1"/>
    </xf>
    <xf numFmtId="1" fontId="0" fillId="43" borderId="0" xfId="0" applyNumberFormat="1" applyFill="1" applyAlignment="1">
      <alignment horizontal="center" vertical="center" wrapText="1"/>
    </xf>
    <xf numFmtId="0" fontId="0" fillId="55" borderId="0" xfId="0" applyFill="1" applyAlignment="1">
      <alignment wrapText="1"/>
    </xf>
    <xf numFmtId="0" fontId="0" fillId="33" borderId="0" xfId="74" applyFill="1">
      <alignment/>
      <protection/>
    </xf>
    <xf numFmtId="1" fontId="6" fillId="34" borderId="0" xfId="0" applyNumberFormat="1" applyFont="1" applyFill="1" applyAlignment="1">
      <alignment wrapText="1"/>
    </xf>
    <xf numFmtId="1" fontId="6" fillId="34" borderId="0" xfId="0" applyNumberFormat="1" applyFont="1" applyFill="1" applyAlignment="1">
      <alignment/>
    </xf>
    <xf numFmtId="1" fontId="6" fillId="34" borderId="0" xfId="0" applyNumberFormat="1" applyFont="1" applyFill="1" applyAlignment="1">
      <alignment horizontal="right"/>
    </xf>
    <xf numFmtId="1" fontId="0" fillId="42" borderId="0" xfId="0" applyNumberFormat="1" applyFill="1" applyAlignment="1">
      <alignment wrapText="1"/>
    </xf>
    <xf numFmtId="1" fontId="0" fillId="34" borderId="0" xfId="0" applyNumberFormat="1" applyFont="1" applyFill="1" applyAlignment="1">
      <alignment wrapText="1"/>
    </xf>
    <xf numFmtId="1" fontId="0" fillId="42" borderId="0" xfId="0" applyNumberFormat="1" applyFont="1" applyFill="1" applyAlignment="1">
      <alignment wrapText="1"/>
    </xf>
    <xf numFmtId="0" fontId="2" fillId="43" borderId="0" xfId="96" applyFont="1" applyFill="1" applyAlignment="1">
      <alignment horizontal="center"/>
      <protection/>
    </xf>
    <xf numFmtId="9" fontId="1" fillId="48" borderId="15" xfId="96" applyNumberFormat="1" applyFont="1" applyFill="1" applyBorder="1" applyAlignment="1" applyProtection="1">
      <alignment horizontal="center"/>
      <protection locked="0"/>
    </xf>
    <xf numFmtId="9" fontId="1" fillId="48" borderId="20" xfId="96" applyNumberFormat="1" applyFont="1" applyFill="1" applyBorder="1" applyAlignment="1" applyProtection="1">
      <alignment horizontal="center"/>
      <protection locked="0"/>
    </xf>
    <xf numFmtId="2" fontId="1" fillId="48" borderId="11" xfId="0" applyNumberFormat="1" applyFont="1" applyFill="1" applyBorder="1" applyAlignment="1" applyProtection="1">
      <alignment horizontal="center"/>
      <protection locked="0"/>
    </xf>
    <xf numFmtId="2" fontId="1" fillId="48" borderId="15" xfId="0" applyNumberFormat="1" applyFont="1" applyFill="1" applyBorder="1" applyAlignment="1" applyProtection="1">
      <alignment horizontal="center"/>
      <protection locked="0"/>
    </xf>
    <xf numFmtId="2" fontId="1" fillId="48" borderId="15" xfId="0" applyNumberFormat="1" applyFont="1" applyFill="1" applyBorder="1" applyAlignment="1">
      <alignment horizontal="center"/>
    </xf>
    <xf numFmtId="0" fontId="0" fillId="43" borderId="0" xfId="0" applyFill="1" applyAlignment="1">
      <alignment horizontal="right"/>
    </xf>
    <xf numFmtId="0" fontId="2" fillId="39" borderId="0" xfId="96" applyFont="1" applyFill="1" applyAlignment="1">
      <alignment horizontal="center"/>
      <protection/>
    </xf>
    <xf numFmtId="0" fontId="1" fillId="48" borderId="15" xfId="96" applyFont="1" applyFill="1" applyBorder="1" applyAlignment="1">
      <alignment horizontal="center"/>
      <protection/>
    </xf>
    <xf numFmtId="9" fontId="0" fillId="33" borderId="0" xfId="0" applyNumberFormat="1" applyFill="1" applyAlignment="1">
      <alignment horizontal="center" vertical="center" wrapText="1"/>
    </xf>
    <xf numFmtId="1" fontId="0" fillId="33" borderId="0" xfId="0" applyNumberFormat="1" applyFill="1" applyAlignment="1">
      <alignment/>
    </xf>
    <xf numFmtId="1" fontId="6" fillId="33" borderId="0" xfId="0" applyNumberFormat="1" applyFont="1" applyFill="1" applyAlignment="1">
      <alignment/>
    </xf>
    <xf numFmtId="0" fontId="0" fillId="39" borderId="0" xfId="91" applyFill="1" applyProtection="1">
      <alignment/>
      <protection locked="0"/>
    </xf>
    <xf numFmtId="175" fontId="0" fillId="39" borderId="0" xfId="91" applyNumberFormat="1" applyFill="1" applyProtection="1">
      <alignment/>
      <protection locked="0"/>
    </xf>
    <xf numFmtId="0" fontId="0" fillId="39" borderId="0" xfId="91" applyFill="1" applyAlignment="1" applyProtection="1">
      <alignment wrapText="1"/>
      <protection locked="0"/>
    </xf>
    <xf numFmtId="175" fontId="0" fillId="39" borderId="0" xfId="91" applyNumberFormat="1" applyFill="1" applyAlignment="1" applyProtection="1">
      <alignment wrapText="1"/>
      <protection locked="0"/>
    </xf>
    <xf numFmtId="0" fontId="0" fillId="39" borderId="0" xfId="91" applyFill="1">
      <alignment/>
      <protection/>
    </xf>
    <xf numFmtId="0" fontId="0" fillId="42" borderId="0" xfId="92" applyFill="1">
      <alignment/>
      <protection/>
    </xf>
    <xf numFmtId="0" fontId="0" fillId="42" borderId="0" xfId="92" applyFill="1" applyProtection="1">
      <alignment/>
      <protection locked="0"/>
    </xf>
    <xf numFmtId="0" fontId="0" fillId="42" borderId="0" xfId="92" applyFill="1" applyAlignment="1" applyProtection="1">
      <alignment horizontal="right"/>
      <protection locked="0"/>
    </xf>
    <xf numFmtId="175" fontId="0" fillId="42" borderId="0" xfId="92" applyNumberFormat="1" applyFill="1" applyProtection="1">
      <alignment/>
      <protection locked="0"/>
    </xf>
    <xf numFmtId="9" fontId="0" fillId="42" borderId="0" xfId="124" applyNumberFormat="1" applyFont="1" applyFill="1" applyAlignment="1" applyProtection="1">
      <alignment/>
      <protection locked="0"/>
    </xf>
    <xf numFmtId="0" fontId="0" fillId="42" borderId="0" xfId="92" applyFill="1" applyAlignment="1">
      <alignment wrapText="1"/>
      <protection/>
    </xf>
    <xf numFmtId="9" fontId="0" fillId="42" borderId="0" xfId="92" applyNumberFormat="1" applyFill="1" applyProtection="1">
      <alignment/>
      <protection locked="0"/>
    </xf>
    <xf numFmtId="0" fontId="0" fillId="42" borderId="0" xfId="93" applyFill="1">
      <alignment/>
      <protection/>
    </xf>
    <xf numFmtId="0" fontId="0" fillId="42" borderId="0" xfId="93" applyFill="1" applyProtection="1">
      <alignment/>
      <protection locked="0"/>
    </xf>
    <xf numFmtId="0" fontId="0" fillId="42" borderId="0" xfId="93" applyFill="1" applyAlignment="1" applyProtection="1">
      <alignment horizontal="right"/>
      <protection locked="0"/>
    </xf>
    <xf numFmtId="175" fontId="0" fillId="42" borderId="0" xfId="93" applyNumberFormat="1" applyFill="1" applyProtection="1">
      <alignment/>
      <protection locked="0"/>
    </xf>
    <xf numFmtId="0" fontId="0" fillId="42" borderId="0" xfId="93" applyFill="1" applyAlignment="1">
      <alignment wrapText="1"/>
      <protection/>
    </xf>
    <xf numFmtId="9" fontId="0" fillId="42" borderId="0" xfId="93" applyNumberFormat="1" applyFill="1" applyProtection="1">
      <alignment/>
      <protection locked="0"/>
    </xf>
    <xf numFmtId="0" fontId="0" fillId="42" borderId="0" xfId="95" applyFill="1">
      <alignment/>
      <protection/>
    </xf>
    <xf numFmtId="0" fontId="0" fillId="42" borderId="0" xfId="95" applyFill="1" applyProtection="1">
      <alignment/>
      <protection locked="0"/>
    </xf>
    <xf numFmtId="0" fontId="0" fillId="42" borderId="0" xfId="95" applyFill="1" applyAlignment="1" applyProtection="1">
      <alignment horizontal="right"/>
      <protection locked="0"/>
    </xf>
    <xf numFmtId="175" fontId="0" fillId="42" borderId="0" xfId="95" applyNumberFormat="1" applyFill="1" applyProtection="1">
      <alignment/>
      <protection locked="0"/>
    </xf>
    <xf numFmtId="9" fontId="0" fillId="42" borderId="0" xfId="126" applyNumberFormat="1" applyFont="1" applyFill="1" applyAlignment="1" applyProtection="1">
      <alignment/>
      <protection locked="0"/>
    </xf>
    <xf numFmtId="0" fontId="0" fillId="42" borderId="0" xfId="95" applyFill="1" applyAlignment="1">
      <alignment wrapText="1"/>
      <protection/>
    </xf>
    <xf numFmtId="0" fontId="0" fillId="42" borderId="0" xfId="57" applyFill="1">
      <alignment/>
      <protection/>
    </xf>
    <xf numFmtId="0" fontId="0" fillId="42" borderId="0" xfId="57" applyFill="1" applyProtection="1">
      <alignment/>
      <protection locked="0"/>
    </xf>
    <xf numFmtId="0" fontId="0" fillId="42" borderId="0" xfId="57" applyFill="1" applyAlignment="1" applyProtection="1">
      <alignment horizontal="right"/>
      <protection locked="0"/>
    </xf>
    <xf numFmtId="175" fontId="0" fillId="42" borderId="0" xfId="57" applyNumberFormat="1" applyFill="1" applyProtection="1">
      <alignment/>
      <protection locked="0"/>
    </xf>
    <xf numFmtId="0" fontId="0" fillId="42" borderId="0" xfId="57" applyFill="1" applyAlignment="1">
      <alignment wrapText="1"/>
      <protection/>
    </xf>
    <xf numFmtId="9" fontId="0" fillId="42" borderId="0" xfId="57" applyNumberFormat="1" applyFill="1" applyProtection="1">
      <alignment/>
      <protection locked="0"/>
    </xf>
    <xf numFmtId="172" fontId="0" fillId="0" borderId="0" xfId="0" applyNumberFormat="1" applyFont="1" applyFill="1" applyAlignment="1">
      <alignment horizontal="right"/>
    </xf>
    <xf numFmtId="0" fontId="0" fillId="0" borderId="0" xfId="0" applyFont="1" applyAlignment="1">
      <alignment/>
    </xf>
    <xf numFmtId="1" fontId="0" fillId="0" borderId="0" xfId="0" applyNumberFormat="1" applyFont="1" applyFill="1" applyAlignment="1">
      <alignment horizontal="right" wrapText="1"/>
    </xf>
    <xf numFmtId="0" fontId="0" fillId="42" borderId="0" xfId="58" applyFill="1">
      <alignment/>
      <protection/>
    </xf>
    <xf numFmtId="0" fontId="0" fillId="42" borderId="0" xfId="58" applyFill="1" applyProtection="1">
      <alignment/>
      <protection locked="0"/>
    </xf>
    <xf numFmtId="0" fontId="0" fillId="42" borderId="0" xfId="58" applyFill="1" applyAlignment="1" applyProtection="1">
      <alignment horizontal="right"/>
      <protection locked="0"/>
    </xf>
    <xf numFmtId="175" fontId="0" fillId="42" borderId="0" xfId="58" applyNumberFormat="1" applyFill="1" applyProtection="1">
      <alignment/>
      <protection locked="0"/>
    </xf>
    <xf numFmtId="0" fontId="0" fillId="42" borderId="0" xfId="58" applyFill="1" applyAlignment="1">
      <alignment wrapText="1"/>
      <protection/>
    </xf>
    <xf numFmtId="9" fontId="0" fillId="42" borderId="0" xfId="58" applyNumberFormat="1" applyFill="1" applyProtection="1">
      <alignment/>
      <protection locked="0"/>
    </xf>
    <xf numFmtId="0" fontId="19" fillId="55" borderId="0" xfId="0" applyFont="1" applyFill="1" applyBorder="1" applyAlignment="1" applyProtection="1">
      <alignment horizontal="center" vertical="center" wrapText="1"/>
      <protection locked="0"/>
    </xf>
    <xf numFmtId="0" fontId="19" fillId="55" borderId="15" xfId="0" applyFont="1" applyFill="1" applyBorder="1" applyAlignment="1" applyProtection="1">
      <alignment horizontal="center" vertical="center" wrapText="1"/>
      <protection locked="0"/>
    </xf>
    <xf numFmtId="0" fontId="0" fillId="0" borderId="0" xfId="67">
      <alignment/>
      <protection/>
    </xf>
    <xf numFmtId="0" fontId="1" fillId="0" borderId="0" xfId="0" applyNumberFormat="1" applyFont="1" applyFill="1" applyAlignment="1">
      <alignment wrapText="1"/>
    </xf>
    <xf numFmtId="0" fontId="1" fillId="0" borderId="0" xfId="0" applyNumberFormat="1" applyFont="1" applyAlignment="1">
      <alignment wrapText="1"/>
    </xf>
    <xf numFmtId="0" fontId="1" fillId="33" borderId="0" xfId="0" applyNumberFormat="1" applyFont="1" applyFill="1" applyAlignment="1">
      <alignment wrapText="1"/>
    </xf>
    <xf numFmtId="0" fontId="1" fillId="33" borderId="0" xfId="0" applyNumberFormat="1" applyFont="1" applyFill="1" applyAlignment="1">
      <alignment horizontal="left" wrapText="1"/>
    </xf>
    <xf numFmtId="0" fontId="0" fillId="33" borderId="0" xfId="0" applyNumberFormat="1" applyFill="1" applyAlignment="1">
      <alignment wrapText="1"/>
    </xf>
    <xf numFmtId="2" fontId="1" fillId="0" borderId="0" xfId="0" applyNumberFormat="1" applyFont="1" applyAlignment="1">
      <alignment wrapText="1"/>
    </xf>
    <xf numFmtId="0" fontId="0" fillId="49" borderId="0" xfId="0" applyFont="1" applyFill="1" applyAlignment="1">
      <alignment horizontal="right"/>
    </xf>
    <xf numFmtId="0" fontId="0" fillId="49" borderId="0" xfId="0" applyFont="1" applyFill="1" applyAlignment="1">
      <alignment/>
    </xf>
    <xf numFmtId="0" fontId="0" fillId="49" borderId="0" xfId="0" applyFont="1" applyFill="1" applyAlignment="1">
      <alignment wrapText="1"/>
    </xf>
    <xf numFmtId="0" fontId="0" fillId="49" borderId="0" xfId="0" applyNumberFormat="1" applyFont="1" applyFill="1" applyAlignment="1">
      <alignment wrapText="1"/>
    </xf>
    <xf numFmtId="2" fontId="0" fillId="49" borderId="0" xfId="0" applyNumberFormat="1" applyFont="1" applyFill="1" applyAlignment="1">
      <alignment/>
    </xf>
    <xf numFmtId="0" fontId="0" fillId="49" borderId="0" xfId="0" applyFill="1" applyAlignment="1">
      <alignment horizontal="right"/>
    </xf>
    <xf numFmtId="0" fontId="16" fillId="49" borderId="0" xfId="96" applyFont="1" applyFill="1" applyAlignment="1">
      <alignment horizontal="center"/>
      <protection/>
    </xf>
    <xf numFmtId="0" fontId="15" fillId="0" borderId="0" xfId="96" applyFont="1" applyAlignment="1">
      <alignment horizontal="center"/>
      <protection/>
    </xf>
    <xf numFmtId="0" fontId="15" fillId="0" borderId="0" xfId="96" applyFont="1" applyFill="1" applyAlignment="1">
      <alignment horizontal="center"/>
      <protection/>
    </xf>
    <xf numFmtId="183" fontId="0" fillId="33" borderId="0" xfId="0" applyNumberFormat="1" applyFill="1" applyAlignment="1">
      <alignment/>
    </xf>
    <xf numFmtId="0" fontId="0" fillId="0" borderId="0" xfId="0" applyFont="1" applyAlignment="1">
      <alignment horizontal="left" wrapText="1"/>
    </xf>
    <xf numFmtId="0" fontId="0" fillId="49" borderId="0" xfId="0" applyFont="1" applyFill="1" applyAlignment="1">
      <alignment horizontal="center"/>
    </xf>
    <xf numFmtId="0" fontId="0" fillId="33" borderId="0" xfId="0" applyFont="1" applyFill="1" applyAlignment="1">
      <alignment/>
    </xf>
    <xf numFmtId="175" fontId="0" fillId="0" borderId="0" xfId="0" applyNumberFormat="1" applyFont="1" applyAlignment="1">
      <alignment/>
    </xf>
    <xf numFmtId="0" fontId="0" fillId="39" borderId="0" xfId="0" applyFont="1" applyFill="1" applyBorder="1" applyAlignment="1">
      <alignment horizontal="center"/>
    </xf>
    <xf numFmtId="172" fontId="15" fillId="55" borderId="0" xfId="96" applyNumberFormat="1" applyFont="1" applyFill="1" applyAlignment="1">
      <alignment horizontal="center"/>
      <protection/>
    </xf>
    <xf numFmtId="0" fontId="15" fillId="49" borderId="0" xfId="0" applyFont="1" applyFill="1" applyAlignment="1">
      <alignment horizontal="center"/>
    </xf>
    <xf numFmtId="0" fontId="15" fillId="46" borderId="0" xfId="60" applyFont="1" applyFill="1" applyBorder="1" applyAlignment="1" applyProtection="1">
      <alignment horizontal="center"/>
      <protection locked="0"/>
    </xf>
    <xf numFmtId="0" fontId="1" fillId="34" borderId="0" xfId="0" applyFont="1" applyFill="1" applyAlignment="1">
      <alignment wrapText="1"/>
    </xf>
    <xf numFmtId="0" fontId="0" fillId="36" borderId="0" xfId="0" applyFill="1" applyAlignment="1">
      <alignment/>
    </xf>
    <xf numFmtId="0" fontId="1" fillId="36" borderId="0" xfId="0" applyFont="1" applyFill="1" applyAlignment="1">
      <alignment wrapText="1"/>
    </xf>
    <xf numFmtId="0" fontId="1" fillId="0" borderId="0" xfId="0" applyFont="1" applyFill="1" applyAlignment="1">
      <alignment/>
    </xf>
    <xf numFmtId="0" fontId="1" fillId="0" borderId="0" xfId="0" applyFont="1" applyFill="1" applyAlignment="1" applyProtection="1">
      <alignment/>
      <protection locked="0"/>
    </xf>
    <xf numFmtId="0" fontId="1" fillId="39" borderId="0" xfId="0" applyFont="1" applyFill="1" applyAlignment="1">
      <alignment wrapText="1"/>
    </xf>
    <xf numFmtId="0" fontId="1" fillId="37" borderId="0" xfId="0" applyFont="1" applyFill="1" applyAlignment="1">
      <alignment wrapText="1"/>
    </xf>
    <xf numFmtId="0" fontId="4" fillId="0" borderId="0" xfId="0" applyFont="1" applyAlignment="1">
      <alignment/>
    </xf>
    <xf numFmtId="49" fontId="4" fillId="33" borderId="0" xfId="0" applyNumberFormat="1" applyFont="1" applyFill="1" applyAlignment="1">
      <alignment wrapText="1"/>
    </xf>
    <xf numFmtId="49" fontId="4" fillId="38" borderId="0" xfId="0" applyNumberFormat="1" applyFont="1" applyFill="1" applyAlignment="1">
      <alignment wrapText="1"/>
    </xf>
    <xf numFmtId="49" fontId="4" fillId="0" borderId="0" xfId="0" applyNumberFormat="1" applyFont="1" applyAlignment="1">
      <alignment wrapText="1"/>
    </xf>
    <xf numFmtId="49" fontId="1" fillId="43" borderId="0" xfId="0" applyNumberFormat="1" applyFont="1" applyFill="1" applyAlignment="1">
      <alignment horizontal="center" wrapText="1"/>
    </xf>
    <xf numFmtId="0" fontId="4" fillId="0" borderId="0" xfId="0" applyFont="1" applyAlignment="1">
      <alignment horizontal="center" wrapText="1"/>
    </xf>
    <xf numFmtId="49" fontId="0" fillId="0" borderId="0" xfId="0" applyNumberFormat="1" applyAlignment="1">
      <alignment horizontal="center" wrapText="1"/>
    </xf>
    <xf numFmtId="9" fontId="0" fillId="33" borderId="0" xfId="0" applyNumberFormat="1" applyFont="1" applyFill="1" applyAlignment="1" applyProtection="1">
      <alignment/>
      <protection locked="0"/>
    </xf>
    <xf numFmtId="10" fontId="0" fillId="33" borderId="0" xfId="0" applyNumberFormat="1" applyFill="1" applyAlignment="1">
      <alignment/>
    </xf>
    <xf numFmtId="2" fontId="0" fillId="36" borderId="0" xfId="0" applyNumberFormat="1" applyFill="1" applyAlignment="1">
      <alignment wrapText="1"/>
    </xf>
    <xf numFmtId="2" fontId="0" fillId="38" borderId="0" xfId="0" applyNumberFormat="1" applyFill="1" applyAlignment="1">
      <alignment wrapText="1"/>
    </xf>
    <xf numFmtId="9" fontId="0" fillId="0" borderId="0" xfId="0" applyNumberFormat="1" applyAlignment="1" applyProtection="1">
      <alignment/>
      <protection locked="0"/>
    </xf>
    <xf numFmtId="0" fontId="0" fillId="0" borderId="0" xfId="0" applyFont="1" applyAlignment="1">
      <alignment wrapText="1"/>
    </xf>
    <xf numFmtId="172" fontId="0" fillId="33" borderId="0" xfId="0" applyNumberFormat="1" applyFill="1" applyAlignment="1">
      <alignment/>
    </xf>
    <xf numFmtId="0" fontId="0" fillId="0" borderId="0" xfId="57" applyFont="1" applyFill="1">
      <alignment/>
      <protection/>
    </xf>
    <xf numFmtId="9" fontId="0" fillId="0" borderId="0" xfId="57" applyNumberFormat="1" applyFill="1">
      <alignment/>
      <protection/>
    </xf>
    <xf numFmtId="9" fontId="0" fillId="33" borderId="0" xfId="0" applyNumberFormat="1" applyFill="1" applyAlignment="1" applyProtection="1">
      <alignment/>
      <protection locked="0"/>
    </xf>
    <xf numFmtId="0" fontId="0" fillId="0" borderId="0" xfId="57" applyFill="1">
      <alignment/>
      <protection/>
    </xf>
    <xf numFmtId="9" fontId="0" fillId="0" borderId="0" xfId="0" applyNumberFormat="1" applyFont="1" applyAlignment="1">
      <alignment/>
    </xf>
    <xf numFmtId="1" fontId="0" fillId="34" borderId="0" xfId="0" applyNumberFormat="1" applyFont="1" applyFill="1" applyAlignment="1">
      <alignment/>
    </xf>
    <xf numFmtId="175" fontId="0" fillId="34" borderId="0" xfId="0" applyNumberFormat="1" applyFill="1" applyAlignment="1">
      <alignment wrapText="1"/>
    </xf>
    <xf numFmtId="9" fontId="0" fillId="34" borderId="0" xfId="0" applyNumberFormat="1" applyFill="1" applyAlignment="1">
      <alignment wrapText="1"/>
    </xf>
    <xf numFmtId="1" fontId="0" fillId="35" borderId="0" xfId="0" applyNumberFormat="1" applyFill="1" applyAlignment="1">
      <alignment wrapText="1"/>
    </xf>
    <xf numFmtId="0" fontId="16" fillId="0" borderId="0" xfId="0" applyFont="1" applyAlignment="1" applyProtection="1">
      <alignment horizontal="left"/>
      <protection locked="0"/>
    </xf>
    <xf numFmtId="0" fontId="1" fillId="44" borderId="0" xfId="0" applyFont="1" applyFill="1" applyAlignment="1" applyProtection="1">
      <alignment horizontal="left"/>
      <protection locked="0"/>
    </xf>
    <xf numFmtId="0" fontId="1" fillId="44" borderId="0" xfId="71" applyFont="1" applyFill="1" applyAlignment="1" applyProtection="1">
      <alignment horizontal="left"/>
      <protection locked="0"/>
    </xf>
    <xf numFmtId="0" fontId="29" fillId="0" borderId="0" xfId="0" applyFont="1" applyFill="1" applyAlignment="1" applyProtection="1">
      <alignment horizontal="left"/>
      <protection locked="0"/>
    </xf>
    <xf numFmtId="0" fontId="17" fillId="0" borderId="0" xfId="0" applyFont="1" applyFill="1" applyAlignment="1" applyProtection="1">
      <alignment horizontal="left"/>
      <protection/>
    </xf>
    <xf numFmtId="0" fontId="17" fillId="44" borderId="0" xfId="0" applyFont="1" applyFill="1" applyAlignment="1" applyProtection="1">
      <alignment horizontal="left"/>
      <protection/>
    </xf>
    <xf numFmtId="0" fontId="17" fillId="44" borderId="0" xfId="71" applyFont="1" applyFill="1" applyAlignment="1" applyProtection="1">
      <alignment horizontal="left"/>
      <protection/>
    </xf>
    <xf numFmtId="0" fontId="29" fillId="0" borderId="0" xfId="0" applyFont="1" applyAlignment="1" applyProtection="1">
      <alignment horizontal="center"/>
      <protection locked="0"/>
    </xf>
    <xf numFmtId="0" fontId="33" fillId="44" borderId="0" xfId="0" applyFont="1" applyFill="1" applyAlignment="1" applyProtection="1">
      <alignment horizontal="left"/>
      <protection/>
    </xf>
    <xf numFmtId="0" fontId="33" fillId="44" borderId="0" xfId="71" applyFont="1" applyFill="1" applyAlignment="1" applyProtection="1">
      <alignment horizontal="left"/>
      <protection/>
    </xf>
    <xf numFmtId="0" fontId="30" fillId="47" borderId="21" xfId="0" applyFont="1" applyFill="1" applyBorder="1" applyAlignment="1" applyProtection="1">
      <alignment horizontal="left"/>
      <protection locked="0"/>
    </xf>
    <xf numFmtId="0" fontId="32" fillId="47" borderId="21" xfId="0" applyFont="1" applyFill="1" applyBorder="1" applyAlignment="1" applyProtection="1">
      <alignment horizontal="left"/>
      <protection locked="0"/>
    </xf>
    <xf numFmtId="0" fontId="32" fillId="47" borderId="22" xfId="0" applyFont="1" applyFill="1" applyBorder="1" applyAlignment="1" applyProtection="1">
      <alignment horizontal="left"/>
      <protection locked="0"/>
    </xf>
    <xf numFmtId="0" fontId="32" fillId="47" borderId="22" xfId="71" applyFont="1" applyFill="1" applyBorder="1" applyAlignment="1" applyProtection="1">
      <alignment horizontal="left"/>
      <protection locked="0"/>
    </xf>
    <xf numFmtId="0" fontId="2" fillId="47" borderId="23" xfId="0" applyFont="1" applyFill="1" applyBorder="1" applyAlignment="1" applyProtection="1">
      <alignment horizontal="left"/>
      <protection locked="0"/>
    </xf>
    <xf numFmtId="0" fontId="1" fillId="47" borderId="23" xfId="0" applyFont="1" applyFill="1" applyBorder="1" applyAlignment="1" applyProtection="1">
      <alignment horizontal="left"/>
      <protection locked="0"/>
    </xf>
    <xf numFmtId="0" fontId="1" fillId="47" borderId="23" xfId="0" applyFont="1" applyFill="1" applyBorder="1" applyAlignment="1" applyProtection="1">
      <alignment horizontal="center"/>
      <protection locked="0"/>
    </xf>
    <xf numFmtId="0" fontId="1" fillId="47" borderId="24" xfId="0" applyFont="1" applyFill="1" applyBorder="1" applyAlignment="1" applyProtection="1">
      <alignment horizontal="center"/>
      <protection locked="0"/>
    </xf>
    <xf numFmtId="0" fontId="1" fillId="47" borderId="24" xfId="71" applyFont="1" applyFill="1" applyBorder="1" applyAlignment="1" applyProtection="1">
      <alignment horizontal="center"/>
      <protection locked="0"/>
    </xf>
    <xf numFmtId="0" fontId="2" fillId="56" borderId="0" xfId="0" applyFont="1" applyFill="1" applyAlignment="1" applyProtection="1">
      <alignment/>
      <protection locked="0"/>
    </xf>
    <xf numFmtId="0" fontId="1" fillId="56" borderId="0" xfId="0" applyFont="1" applyFill="1" applyBorder="1" applyAlignment="1" applyProtection="1">
      <alignment horizontal="left"/>
      <protection locked="0"/>
    </xf>
    <xf numFmtId="0" fontId="1" fillId="56" borderId="0" xfId="0" applyFont="1" applyFill="1" applyBorder="1" applyAlignment="1" applyProtection="1">
      <alignment horizontal="center"/>
      <protection locked="0"/>
    </xf>
    <xf numFmtId="0" fontId="1" fillId="56" borderId="0" xfId="71" applyFont="1" applyFill="1" applyBorder="1" applyAlignment="1" applyProtection="1">
      <alignment horizontal="center"/>
      <protection locked="0"/>
    </xf>
    <xf numFmtId="0" fontId="16" fillId="0" borderId="0" xfId="0" applyFont="1" applyFill="1" applyBorder="1" applyAlignment="1" applyProtection="1">
      <alignment horizontal="left"/>
      <protection locked="0"/>
    </xf>
    <xf numFmtId="0" fontId="0" fillId="46" borderId="0" xfId="0" applyFill="1" applyBorder="1" applyAlignment="1" applyProtection="1">
      <alignment horizontal="left"/>
      <protection locked="0"/>
    </xf>
    <xf numFmtId="3" fontId="1" fillId="44" borderId="0" xfId="0" applyNumberFormat="1" applyFont="1" applyFill="1" applyBorder="1" applyAlignment="1" applyProtection="1">
      <alignment horizontal="center"/>
      <protection locked="0"/>
    </xf>
    <xf numFmtId="3" fontId="1" fillId="44" borderId="0" xfId="71" applyNumberFormat="1" applyFont="1" applyFill="1" applyBorder="1" applyAlignment="1" applyProtection="1">
      <alignment horizontal="center"/>
      <protection locked="0"/>
    </xf>
    <xf numFmtId="0" fontId="0" fillId="46" borderId="0" xfId="0" applyFont="1" applyFill="1" applyBorder="1" applyAlignment="1" applyProtection="1">
      <alignment horizontal="left"/>
      <protection locked="0"/>
    </xf>
    <xf numFmtId="0" fontId="19" fillId="46" borderId="0" xfId="0" applyFont="1" applyFill="1" applyBorder="1" applyAlignment="1" applyProtection="1">
      <alignment horizontal="left"/>
      <protection locked="0"/>
    </xf>
    <xf numFmtId="0" fontId="15" fillId="44" borderId="0" xfId="0" applyFont="1" applyFill="1" applyBorder="1" applyAlignment="1" applyProtection="1">
      <alignment horizontal="center"/>
      <protection locked="0"/>
    </xf>
    <xf numFmtId="0" fontId="15" fillId="44" borderId="0" xfId="71" applyFont="1" applyFill="1" applyBorder="1" applyAlignment="1" applyProtection="1">
      <alignment horizontal="center"/>
      <protection locked="0"/>
    </xf>
    <xf numFmtId="0" fontId="1" fillId="44" borderId="0" xfId="0" applyFont="1" applyFill="1" applyBorder="1" applyAlignment="1" applyProtection="1">
      <alignment horizontal="center"/>
      <protection locked="0"/>
    </xf>
    <xf numFmtId="0" fontId="15" fillId="46" borderId="0" xfId="0" applyFont="1" applyFill="1" applyBorder="1" applyAlignment="1" applyProtection="1">
      <alignment horizontal="center"/>
      <protection locked="0"/>
    </xf>
    <xf numFmtId="0" fontId="15" fillId="44" borderId="0" xfId="0" applyFont="1" applyFill="1" applyAlignment="1" applyProtection="1">
      <alignment horizontal="center"/>
      <protection locked="0"/>
    </xf>
    <xf numFmtId="0" fontId="15" fillId="44" borderId="0" xfId="71" applyFont="1" applyFill="1" applyAlignment="1" applyProtection="1">
      <alignment horizontal="center"/>
      <protection locked="0"/>
    </xf>
    <xf numFmtId="0" fontId="1" fillId="44" borderId="0" xfId="0" applyFont="1" applyFill="1" applyAlignment="1" applyProtection="1">
      <alignment horizontal="center"/>
      <protection locked="0"/>
    </xf>
    <xf numFmtId="0" fontId="0" fillId="46" borderId="0" xfId="0" applyFont="1" applyFill="1" applyBorder="1" applyAlignment="1" applyProtection="1">
      <alignment horizontal="left" wrapText="1"/>
      <protection locked="0"/>
    </xf>
    <xf numFmtId="0" fontId="1" fillId="44" borderId="0" xfId="71" applyFont="1" applyFill="1" applyBorder="1" applyAlignment="1" applyProtection="1">
      <alignment horizontal="center"/>
      <protection locked="0"/>
    </xf>
    <xf numFmtId="0" fontId="0" fillId="46" borderId="0" xfId="0" applyFont="1" applyFill="1" applyBorder="1" applyAlignment="1" applyProtection="1">
      <alignment wrapText="1"/>
      <protection locked="0"/>
    </xf>
    <xf numFmtId="0" fontId="0" fillId="46" borderId="0" xfId="0" applyFill="1" applyAlignment="1" applyProtection="1">
      <alignment horizontal="left"/>
      <protection locked="0"/>
    </xf>
    <xf numFmtId="0" fontId="15" fillId="46" borderId="0" xfId="0" applyFont="1" applyFill="1" applyAlignment="1" applyProtection="1">
      <alignment horizontal="center"/>
      <protection locked="0"/>
    </xf>
    <xf numFmtId="0" fontId="1" fillId="44" borderId="0" xfId="71" applyFont="1" applyFill="1" applyAlignment="1" applyProtection="1">
      <alignment horizontal="center"/>
      <protection locked="0"/>
    </xf>
    <xf numFmtId="0" fontId="1" fillId="46" borderId="0" xfId="0" applyFont="1" applyFill="1" applyBorder="1" applyAlignment="1" applyProtection="1">
      <alignment horizontal="left"/>
      <protection locked="0"/>
    </xf>
    <xf numFmtId="0" fontId="0" fillId="46" borderId="0" xfId="0" applyFont="1" applyFill="1" applyBorder="1" applyAlignment="1" applyProtection="1">
      <alignment vertical="top" wrapText="1"/>
      <protection locked="0"/>
    </xf>
    <xf numFmtId="0" fontId="0" fillId="46" borderId="0" xfId="0" applyFill="1" applyBorder="1" applyAlignment="1" applyProtection="1">
      <alignment vertical="top" wrapText="1"/>
      <protection locked="0"/>
    </xf>
    <xf numFmtId="0" fontId="1" fillId="46" borderId="0" xfId="0" applyFont="1" applyFill="1" applyAlignment="1" applyProtection="1">
      <alignment horizontal="left"/>
      <protection locked="0"/>
    </xf>
    <xf numFmtId="0" fontId="0" fillId="46" borderId="0" xfId="0" applyFont="1" applyFill="1" applyAlignment="1" applyProtection="1">
      <alignment horizontal="left"/>
      <protection locked="0"/>
    </xf>
    <xf numFmtId="0" fontId="15" fillId="0" borderId="0" xfId="0" applyFont="1" applyFill="1" applyAlignment="1" applyProtection="1">
      <alignment horizontal="left"/>
      <protection locked="0"/>
    </xf>
    <xf numFmtId="0" fontId="0" fillId="46" borderId="0" xfId="0" applyFill="1" applyBorder="1" applyAlignment="1" applyProtection="1">
      <alignment wrapText="1"/>
      <protection locked="0"/>
    </xf>
    <xf numFmtId="9" fontId="1" fillId="44" borderId="0" xfId="0" applyNumberFormat="1" applyFont="1" applyFill="1" applyAlignment="1" applyProtection="1">
      <alignment horizontal="center"/>
      <protection locked="0"/>
    </xf>
    <xf numFmtId="9" fontId="1" fillId="44" borderId="0" xfId="71" applyNumberFormat="1" applyFont="1" applyFill="1" applyAlignment="1" applyProtection="1">
      <alignment horizontal="center"/>
      <protection locked="0"/>
    </xf>
    <xf numFmtId="0" fontId="2" fillId="0" borderId="0" xfId="0" applyFont="1" applyFill="1" applyAlignment="1" applyProtection="1">
      <alignment/>
      <protection locked="0"/>
    </xf>
    <xf numFmtId="0" fontId="0" fillId="0" borderId="0" xfId="0" applyFill="1" applyAlignment="1" applyProtection="1">
      <alignment/>
      <protection locked="0"/>
    </xf>
    <xf numFmtId="0" fontId="16" fillId="0" borderId="0" xfId="0" applyFont="1" applyFill="1" applyAlignment="1" applyProtection="1">
      <alignment/>
      <protection locked="0"/>
    </xf>
    <xf numFmtId="0" fontId="2" fillId="0" borderId="0" xfId="0" applyFont="1" applyFill="1" applyAlignment="1" applyProtection="1">
      <alignment/>
      <protection locked="0"/>
    </xf>
    <xf numFmtId="0" fontId="31" fillId="0" borderId="0" xfId="0" applyFont="1" applyFill="1" applyBorder="1" applyAlignment="1" applyProtection="1">
      <alignment horizontal="center" vertical="top" wrapText="1"/>
      <protection locked="0"/>
    </xf>
    <xf numFmtId="0" fontId="16" fillId="0" borderId="12" xfId="0" applyFont="1" applyFill="1" applyBorder="1" applyAlignment="1" applyProtection="1">
      <alignment horizontal="left"/>
      <protection locked="0"/>
    </xf>
    <xf numFmtId="0" fontId="16" fillId="0" borderId="0" xfId="0" applyFont="1" applyFill="1" applyAlignment="1" applyProtection="1">
      <alignment horizontal="left"/>
      <protection/>
    </xf>
    <xf numFmtId="0" fontId="1" fillId="44" borderId="0" xfId="61" applyFont="1" applyFill="1" applyAlignment="1" applyProtection="1">
      <alignment horizontal="center"/>
      <protection locked="0"/>
    </xf>
    <xf numFmtId="0" fontId="0" fillId="0" borderId="0" xfId="0" applyNumberFormat="1" applyAlignment="1">
      <alignment horizontal="right" wrapText="1"/>
    </xf>
    <xf numFmtId="183" fontId="0" fillId="37" borderId="0" xfId="0" applyNumberFormat="1" applyFill="1" applyAlignment="1">
      <alignment/>
    </xf>
    <xf numFmtId="175" fontId="0" fillId="38" borderId="0" xfId="0" applyNumberFormat="1" applyFill="1" applyAlignment="1">
      <alignment wrapText="1"/>
    </xf>
    <xf numFmtId="187" fontId="0" fillId="38" borderId="0" xfId="0" applyNumberFormat="1" applyFill="1" applyAlignment="1">
      <alignment/>
    </xf>
    <xf numFmtId="172" fontId="0" fillId="0" borderId="0" xfId="0" applyNumberFormat="1" applyFill="1" applyAlignment="1">
      <alignment horizontal="center"/>
    </xf>
    <xf numFmtId="172" fontId="0" fillId="33" borderId="0" xfId="0" applyNumberFormat="1" applyFill="1" applyAlignment="1">
      <alignment horizontal="center" wrapText="1"/>
    </xf>
    <xf numFmtId="0" fontId="2" fillId="0" borderId="0" xfId="0" applyFont="1" applyFill="1" applyAlignment="1">
      <alignment/>
    </xf>
    <xf numFmtId="0" fontId="1" fillId="0" borderId="0" xfId="0" applyFont="1" applyAlignment="1">
      <alignment wrapText="1"/>
    </xf>
    <xf numFmtId="0" fontId="2" fillId="0" borderId="0" xfId="0" applyFont="1" applyFill="1" applyAlignment="1">
      <alignment horizontal="center" wrapText="1"/>
    </xf>
    <xf numFmtId="0" fontId="2" fillId="0" borderId="0" xfId="0" applyFont="1" applyAlignment="1">
      <alignment horizontal="center"/>
    </xf>
    <xf numFmtId="0" fontId="2" fillId="0" borderId="0" xfId="0" applyFont="1" applyAlignment="1">
      <alignment horizontal="center" wrapText="1"/>
    </xf>
    <xf numFmtId="0" fontId="2" fillId="0" borderId="0" xfId="0" applyFont="1" applyAlignment="1">
      <alignment/>
    </xf>
    <xf numFmtId="0" fontId="0" fillId="0" borderId="0" xfId="0" applyAlignment="1">
      <alignment wrapText="1"/>
    </xf>
    <xf numFmtId="172" fontId="0" fillId="33" borderId="0" xfId="0" applyNumberFormat="1" applyFill="1" applyAlignment="1">
      <alignment wrapText="1"/>
    </xf>
    <xf numFmtId="0" fontId="0" fillId="0" borderId="0" xfId="0" applyAlignment="1">
      <alignment/>
    </xf>
    <xf numFmtId="0" fontId="0" fillId="33" borderId="0" xfId="0" applyFont="1" applyFill="1" applyAlignment="1">
      <alignment wrapText="1"/>
    </xf>
    <xf numFmtId="0" fontId="1" fillId="34" borderId="0" xfId="0" applyFont="1" applyFill="1" applyAlignment="1">
      <alignment wrapText="1"/>
    </xf>
    <xf numFmtId="0" fontId="1" fillId="34" borderId="0" xfId="0" applyFont="1" applyFill="1" applyAlignment="1">
      <alignment/>
    </xf>
    <xf numFmtId="0" fontId="0" fillId="34" borderId="0" xfId="0" applyFill="1" applyAlignment="1">
      <alignment/>
    </xf>
    <xf numFmtId="0" fontId="1" fillId="36" borderId="0" xfId="0" applyFont="1" applyFill="1" applyAlignment="1">
      <alignment wrapText="1"/>
    </xf>
    <xf numFmtId="0" fontId="1" fillId="35" borderId="0" xfId="0" applyFont="1" applyFill="1" applyAlignment="1">
      <alignment/>
    </xf>
    <xf numFmtId="0" fontId="0" fillId="35" borderId="0" xfId="0" applyFill="1" applyAlignment="1">
      <alignment/>
    </xf>
    <xf numFmtId="0" fontId="1" fillId="37" borderId="0" xfId="96" applyFont="1" applyFill="1" applyAlignment="1">
      <alignment horizontal="center" wrapText="1"/>
      <protection/>
    </xf>
    <xf numFmtId="0" fontId="1" fillId="41" borderId="0" xfId="0" applyFont="1" applyFill="1" applyBorder="1" applyAlignment="1">
      <alignment horizontal="center" wrapText="1"/>
    </xf>
    <xf numFmtId="0" fontId="0" fillId="46" borderId="18" xfId="0" applyFont="1" applyFill="1" applyBorder="1" applyAlignment="1" applyProtection="1">
      <alignment horizontal="center" vertical="center" wrapText="1"/>
      <protection locked="0"/>
    </xf>
    <xf numFmtId="0" fontId="0" fillId="46" borderId="0" xfId="0" applyFont="1" applyFill="1" applyBorder="1" applyAlignment="1" applyProtection="1">
      <alignment horizontal="center" vertical="center" wrapText="1"/>
      <protection locked="0"/>
    </xf>
    <xf numFmtId="0" fontId="0" fillId="46" borderId="15" xfId="0" applyFont="1" applyFill="1" applyBorder="1" applyAlignment="1" applyProtection="1">
      <alignment horizontal="center" vertical="center" wrapText="1"/>
      <protection locked="0"/>
    </xf>
    <xf numFmtId="0" fontId="0" fillId="39" borderId="0" xfId="0" applyFont="1" applyFill="1" applyAlignment="1">
      <alignment horizontal="center" vertical="center" wrapText="1"/>
    </xf>
    <xf numFmtId="0" fontId="1" fillId="46" borderId="15" xfId="0" applyFont="1" applyFill="1" applyBorder="1" applyAlignment="1">
      <alignment horizontal="center" vertical="center" wrapText="1"/>
    </xf>
    <xf numFmtId="0" fontId="1" fillId="51" borderId="15" xfId="0" applyFont="1" applyFill="1" applyBorder="1" applyAlignment="1">
      <alignment horizontal="center"/>
    </xf>
    <xf numFmtId="0" fontId="1" fillId="46" borderId="18" xfId="0" applyFont="1" applyFill="1" applyBorder="1" applyAlignment="1">
      <alignment horizontal="center" vertical="center" wrapText="1"/>
    </xf>
    <xf numFmtId="0" fontId="1" fillId="46" borderId="0" xfId="0" applyFont="1" applyFill="1" applyBorder="1" applyAlignment="1">
      <alignment horizontal="center" vertical="center" wrapText="1"/>
    </xf>
    <xf numFmtId="0" fontId="15" fillId="46" borderId="0" xfId="0" applyFont="1" applyFill="1" applyBorder="1" applyAlignment="1" applyProtection="1">
      <alignment horizontal="center" vertical="center" wrapText="1"/>
      <protection locked="0"/>
    </xf>
    <xf numFmtId="0" fontId="17" fillId="50" borderId="0" xfId="0" applyFont="1" applyFill="1" applyAlignment="1" applyProtection="1">
      <alignment horizontal="center" textRotation="90"/>
      <protection/>
    </xf>
    <xf numFmtId="0" fontId="0" fillId="46" borderId="0" xfId="0" applyFill="1" applyAlignment="1">
      <alignment horizontal="right"/>
    </xf>
    <xf numFmtId="0" fontId="16" fillId="50" borderId="0" xfId="0" applyFont="1" applyFill="1" applyBorder="1" applyAlignment="1" applyProtection="1">
      <alignment horizontal="center" vertical="center"/>
      <protection locked="0"/>
    </xf>
    <xf numFmtId="0" fontId="13" fillId="46" borderId="25" xfId="0" applyFont="1" applyFill="1" applyBorder="1" applyAlignment="1">
      <alignment horizontal="center" vertical="top" wrapText="1"/>
    </xf>
    <xf numFmtId="0" fontId="13" fillId="46" borderId="26" xfId="0" applyFont="1" applyFill="1" applyBorder="1" applyAlignment="1">
      <alignment horizontal="center" vertical="top" wrapText="1"/>
    </xf>
    <xf numFmtId="0" fontId="0" fillId="0" borderId="27" xfId="0" applyFont="1" applyBorder="1" applyAlignment="1">
      <alignment vertical="top" wrapText="1"/>
    </xf>
    <xf numFmtId="0" fontId="0" fillId="0" borderId="13" xfId="0" applyFont="1" applyBorder="1" applyAlignment="1">
      <alignment vertical="top" wrapText="1"/>
    </xf>
    <xf numFmtId="0" fontId="1" fillId="46" borderId="25" xfId="0" applyFont="1" applyFill="1" applyBorder="1" applyAlignment="1">
      <alignment horizontal="center" wrapText="1"/>
    </xf>
    <xf numFmtId="0" fontId="1" fillId="46" borderId="28" xfId="0" applyFont="1" applyFill="1" applyBorder="1" applyAlignment="1">
      <alignment horizontal="center" wrapText="1"/>
    </xf>
    <xf numFmtId="0" fontId="1" fillId="46" borderId="26" xfId="0" applyFont="1" applyFill="1" applyBorder="1" applyAlignment="1">
      <alignment horizontal="center" wrapText="1"/>
    </xf>
    <xf numFmtId="0" fontId="0" fillId="0" borderId="29" xfId="0" applyFont="1" applyBorder="1" applyAlignment="1">
      <alignment horizontal="center" wrapText="1"/>
    </xf>
    <xf numFmtId="0" fontId="0" fillId="0" borderId="14" xfId="0" applyFont="1" applyBorder="1" applyAlignment="1">
      <alignment horizontal="center" wrapText="1"/>
    </xf>
    <xf numFmtId="0" fontId="13" fillId="46" borderId="29" xfId="0" applyFont="1" applyFill="1" applyBorder="1" applyAlignment="1">
      <alignment wrapText="1"/>
    </xf>
    <xf numFmtId="0" fontId="13" fillId="46" borderId="14" xfId="0" applyFont="1" applyFill="1" applyBorder="1" applyAlignment="1">
      <alignment wrapText="1"/>
    </xf>
    <xf numFmtId="0" fontId="13" fillId="46" borderId="29" xfId="0" applyFont="1" applyFill="1" applyBorder="1" applyAlignment="1">
      <alignment horizontal="center" wrapText="1"/>
    </xf>
    <xf numFmtId="0" fontId="13" fillId="46" borderId="14" xfId="0" applyFont="1" applyFill="1" applyBorder="1" applyAlignment="1">
      <alignment horizontal="center" wrapText="1"/>
    </xf>
    <xf numFmtId="0" fontId="13" fillId="46" borderId="25" xfId="0" applyFont="1" applyFill="1" applyBorder="1" applyAlignment="1">
      <alignment horizontal="center" wrapText="1"/>
    </xf>
    <xf numFmtId="0" fontId="13" fillId="46" borderId="28" xfId="0" applyFont="1" applyFill="1" applyBorder="1" applyAlignment="1">
      <alignment horizontal="center" wrapText="1"/>
    </xf>
    <xf numFmtId="0" fontId="13" fillId="46" borderId="26" xfId="0" applyFont="1" applyFill="1" applyBorder="1" applyAlignment="1">
      <alignment horizontal="center" wrapText="1"/>
    </xf>
    <xf numFmtId="0" fontId="0" fillId="46" borderId="0" xfId="0" applyFont="1" applyFill="1" applyAlignment="1">
      <alignment/>
    </xf>
    <xf numFmtId="0" fontId="0" fillId="37" borderId="0" xfId="0" applyFont="1" applyFill="1" applyAlignment="1">
      <alignment/>
    </xf>
    <xf numFmtId="0" fontId="0" fillId="43" borderId="0" xfId="0" applyFont="1" applyFill="1" applyAlignment="1">
      <alignment/>
    </xf>
    <xf numFmtId="0" fontId="0" fillId="42" borderId="0" xfId="0" applyFont="1" applyFill="1" applyAlignment="1">
      <alignment/>
    </xf>
    <xf numFmtId="0" fontId="0" fillId="40" borderId="0" xfId="0" applyFont="1" applyFill="1" applyAlignment="1">
      <alignment/>
    </xf>
  </cellXfs>
  <cellStyles count="11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10" xfId="57"/>
    <cellStyle name="Normal 11" xfId="58"/>
    <cellStyle name="Normal 12" xfId="59"/>
    <cellStyle name="Normal 13" xfId="60"/>
    <cellStyle name="Normal 2" xfId="61"/>
    <cellStyle name="Normal 2 10" xfId="62"/>
    <cellStyle name="Normal 2 2" xfId="63"/>
    <cellStyle name="Normal 2 3" xfId="64"/>
    <cellStyle name="Normal 2 4" xfId="65"/>
    <cellStyle name="Normal 2 5" xfId="66"/>
    <cellStyle name="Normal 2 6" xfId="67"/>
    <cellStyle name="Normal 2 7" xfId="68"/>
    <cellStyle name="Normal 2 8" xfId="69"/>
    <cellStyle name="Normal 2 9" xfId="70"/>
    <cellStyle name="Normal 3" xfId="71"/>
    <cellStyle name="Normal 3 10" xfId="72"/>
    <cellStyle name="Normal 3 11" xfId="73"/>
    <cellStyle name="Normal 3 2" xfId="74"/>
    <cellStyle name="Normal 3 3" xfId="75"/>
    <cellStyle name="Normal 3 4" xfId="76"/>
    <cellStyle name="Normal 3 5" xfId="77"/>
    <cellStyle name="Normal 3 6" xfId="78"/>
    <cellStyle name="Normal 3 7" xfId="79"/>
    <cellStyle name="Normal 3 8" xfId="80"/>
    <cellStyle name="Normal 3 9" xfId="81"/>
    <cellStyle name="Normal 4" xfId="82"/>
    <cellStyle name="Normal 4 2" xfId="83"/>
    <cellStyle name="Normal 4 3" xfId="84"/>
    <cellStyle name="Normal 4 4" xfId="85"/>
    <cellStyle name="Normal 4 5" xfId="86"/>
    <cellStyle name="Normal 4 6" xfId="87"/>
    <cellStyle name="Normal 4 7" xfId="88"/>
    <cellStyle name="Normal 4 8" xfId="89"/>
    <cellStyle name="Normal 4 9" xfId="90"/>
    <cellStyle name="Normal 5" xfId="91"/>
    <cellStyle name="Normal 6" xfId="92"/>
    <cellStyle name="Normal 7" xfId="93"/>
    <cellStyle name="Normal 8" xfId="94"/>
    <cellStyle name="Normal 9" xfId="95"/>
    <cellStyle name="Normal_bses score sheet totals" xfId="96"/>
    <cellStyle name="Normal_fert +pest rates" xfId="97"/>
    <cellStyle name="Note" xfId="98"/>
    <cellStyle name="Note 2" xfId="99"/>
    <cellStyle name="Note 2 2" xfId="100"/>
    <cellStyle name="Note 2 3" xfId="101"/>
    <cellStyle name="Note 2 4" xfId="102"/>
    <cellStyle name="Note 2 5" xfId="103"/>
    <cellStyle name="Note 2 6" xfId="104"/>
    <cellStyle name="Note 2 7" xfId="105"/>
    <cellStyle name="Note 2 8" xfId="106"/>
    <cellStyle name="Note 2 9" xfId="107"/>
    <cellStyle name="Note 3" xfId="108"/>
    <cellStyle name="Note 3 2" xfId="109"/>
    <cellStyle name="Note 3 3" xfId="110"/>
    <cellStyle name="Note 3 4" xfId="111"/>
    <cellStyle name="Note 3 5" xfId="112"/>
    <cellStyle name="Note 3 6" xfId="113"/>
    <cellStyle name="Note 3 7" xfId="114"/>
    <cellStyle name="Note 3 8" xfId="115"/>
    <cellStyle name="Note 3 9" xfId="116"/>
    <cellStyle name="Note 4" xfId="117"/>
    <cellStyle name="Note 5" xfId="118"/>
    <cellStyle name="Output" xfId="119"/>
    <cellStyle name="Percent" xfId="120"/>
    <cellStyle name="Percent 2" xfId="121"/>
    <cellStyle name="Percent 3" xfId="122"/>
    <cellStyle name="Percent 4" xfId="123"/>
    <cellStyle name="Percent 5" xfId="124"/>
    <cellStyle name="Percent 6" xfId="125"/>
    <cellStyle name="Percent 7" xfId="126"/>
    <cellStyle name="Percent 8" xfId="127"/>
    <cellStyle name="Percent 9" xfId="128"/>
    <cellStyle name="Title" xfId="129"/>
    <cellStyle name="Total" xfId="130"/>
    <cellStyle name="Warning Text" xfId="13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externalLink" Target="externalLinks/externalLink2.xml" /><Relationship Id="rId24" Type="http://schemas.openxmlformats.org/officeDocument/2006/relationships/externalLink" Target="externalLinks/externalLink3.xml" /><Relationship Id="rId2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125"/>
          <c:y val="0.0355"/>
          <c:w val="0.90775"/>
          <c:h val="0.844"/>
        </c:manualLayout>
      </c:layout>
      <c:lineChart>
        <c:grouping val="standard"/>
        <c:varyColors val="0"/>
        <c:ser>
          <c:idx val="0"/>
          <c:order val="0"/>
          <c:tx>
            <c:strRef>
              <c:f>'[1]Scientific information'!$B$21</c:f>
              <c:strCache>
                <c:ptCount val="1"/>
                <c:pt idx="0">
                  <c:v>Soil movement</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'[1]Scientific information'!$C$22:$C$27</c:f>
              <c:numCache>
                <c:ptCount val="6"/>
                <c:pt idx="0">
                  <c:v>0.025</c:v>
                </c:pt>
                <c:pt idx="1">
                  <c:v>0.125</c:v>
                </c:pt>
                <c:pt idx="2">
                  <c:v>0.35</c:v>
                </c:pt>
                <c:pt idx="3">
                  <c:v>0.48</c:v>
                </c:pt>
                <c:pt idx="4">
                  <c:v>0.57</c:v>
                </c:pt>
                <c:pt idx="5">
                  <c:v>0.65</c:v>
                </c:pt>
              </c:numCache>
            </c:numRef>
          </c:cat>
          <c:val>
            <c:numRef>
              <c:f>'[1]Scientific information'!$B$22:$B$27</c:f>
              <c:numCache>
                <c:ptCount val="6"/>
                <c:pt idx="0">
                  <c:v>115</c:v>
                </c:pt>
                <c:pt idx="1">
                  <c:v>40</c:v>
                </c:pt>
                <c:pt idx="2">
                  <c:v>25</c:v>
                </c:pt>
                <c:pt idx="3">
                  <c:v>15</c:v>
                </c:pt>
                <c:pt idx="4">
                  <c:v>10</c:v>
                </c:pt>
                <c:pt idx="5">
                  <c:v>5</c:v>
                </c:pt>
              </c:numCache>
            </c:numRef>
          </c:val>
          <c:smooth val="0"/>
        </c:ser>
        <c:marker val="1"/>
        <c:axId val="62695357"/>
        <c:axId val="27387302"/>
      </c:lineChart>
      <c:catAx>
        <c:axId val="62695357"/>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Cover </a:t>
                </a:r>
              </a:p>
            </c:rich>
          </c:tx>
          <c:layout>
            <c:manualLayout>
              <c:xMode val="factor"/>
              <c:yMode val="factor"/>
              <c:x val="0"/>
              <c:y val="0.0012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27387302"/>
        <c:crosses val="autoZero"/>
        <c:auto val="1"/>
        <c:lblOffset val="100"/>
        <c:tickLblSkip val="1"/>
        <c:noMultiLvlLbl val="0"/>
      </c:catAx>
      <c:valAx>
        <c:axId val="27387302"/>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Soil movement (kg/ha/mm runoff)</a:t>
                </a:r>
              </a:p>
            </c:rich>
          </c:tx>
          <c:layout>
            <c:manualLayout>
              <c:xMode val="factor"/>
              <c:yMode val="factor"/>
              <c:x val="-0.00225"/>
              <c:y val="-0.001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2695357"/>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19</xdr:row>
      <xdr:rowOff>104775</xdr:rowOff>
    </xdr:from>
    <xdr:to>
      <xdr:col>0</xdr:col>
      <xdr:colOff>4829175</xdr:colOff>
      <xdr:row>36</xdr:row>
      <xdr:rowOff>123825</xdr:rowOff>
    </xdr:to>
    <xdr:graphicFrame>
      <xdr:nvGraphicFramePr>
        <xdr:cNvPr id="1" name="Chart 1"/>
        <xdr:cNvGraphicFramePr/>
      </xdr:nvGraphicFramePr>
      <xdr:xfrm>
        <a:off x="200025" y="4476750"/>
        <a:ext cx="4629150" cy="277177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rolfej\My%20Documents\Research%202007\Burdekin%20MBI\Metric%202008\Grazing%20metric%20Burdekin%20MBI_5%20mar.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2008%20MBI%20burdekin\bids\consolidated%20field%20visit%20data.XML"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tsclient\Files\Duan\BDTNRM\2007_MBI_WQ-Auction\site%20visits\MBI%20Tender%20Registe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ream frontage area"/>
      <sheetName val="Scoresheets"/>
      <sheetName val="Metric"/>
      <sheetName val="Verification score"/>
      <sheetName val="Scientific information"/>
    </sheetNames>
    <sheetDataSet>
      <sheetData sheetId="0">
        <row r="19">
          <cell r="H19">
            <v>0.5</v>
          </cell>
        </row>
      </sheetData>
      <sheetData sheetId="1">
        <row r="103">
          <cell r="C103">
            <v>0.5</v>
          </cell>
          <cell r="D103">
            <v>1</v>
          </cell>
          <cell r="E103">
            <v>0.4</v>
          </cell>
          <cell r="F103">
            <v>0.8</v>
          </cell>
          <cell r="G103">
            <v>0.6</v>
          </cell>
          <cell r="H103">
            <v>0.9</v>
          </cell>
          <cell r="I103">
            <v>1</v>
          </cell>
          <cell r="J103">
            <v>0.6</v>
          </cell>
          <cell r="K103">
            <v>1.1</v>
          </cell>
        </row>
      </sheetData>
      <sheetData sheetId="4">
        <row r="21">
          <cell r="B21" t="str">
            <v>Soil movement</v>
          </cell>
        </row>
        <row r="22">
          <cell r="B22">
            <v>115</v>
          </cell>
          <cell r="C22">
            <v>0.025</v>
          </cell>
        </row>
        <row r="23">
          <cell r="B23">
            <v>40</v>
          </cell>
          <cell r="C23">
            <v>0.125</v>
          </cell>
        </row>
        <row r="24">
          <cell r="B24">
            <v>25</v>
          </cell>
          <cell r="C24">
            <v>0.35</v>
          </cell>
        </row>
        <row r="25">
          <cell r="B25">
            <v>15</v>
          </cell>
          <cell r="C25">
            <v>0.48</v>
          </cell>
        </row>
        <row r="26">
          <cell r="B26">
            <v>10</v>
          </cell>
          <cell r="C26">
            <v>0.57</v>
          </cell>
        </row>
        <row r="27">
          <cell r="B27">
            <v>5</v>
          </cell>
          <cell r="C27">
            <v>0.65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ADME"/>
      <sheetName val="fertiliser conversions"/>
      <sheetName val="Totals and project parameters"/>
      <sheetName val="data input sheet"/>
    </sheetNames>
    <sheetDataSet>
      <sheetData sheetId="3">
        <row r="353">
          <cell r="E353">
            <v>18.349999999999998</v>
          </cell>
          <cell r="G353">
            <v>19.65</v>
          </cell>
          <cell r="I353">
            <v>19.65</v>
          </cell>
          <cell r="K353">
            <v>0</v>
          </cell>
          <cell r="M353">
            <v>13.15</v>
          </cell>
          <cell r="O353">
            <v>0.4375</v>
          </cell>
          <cell r="Q353">
            <v>13.4125</v>
          </cell>
          <cell r="S353">
            <v>27.15</v>
          </cell>
          <cell r="U353">
            <v>15.399999999999999</v>
          </cell>
          <cell r="W353">
            <v>13.15</v>
          </cell>
          <cell r="Y353">
            <v>13.9</v>
          </cell>
          <cell r="AA353">
            <v>13.4</v>
          </cell>
          <cell r="AC353">
            <v>0.925</v>
          </cell>
          <cell r="AE353">
            <v>0.5</v>
          </cell>
          <cell r="AG353">
            <v>0.675</v>
          </cell>
          <cell r="AI353">
            <v>13.9</v>
          </cell>
          <cell r="AK353">
            <v>7.5625</v>
          </cell>
          <cell r="AM353">
            <v>7.7125</v>
          </cell>
          <cell r="AO353">
            <v>20.4625</v>
          </cell>
          <cell r="AQ353">
            <v>1</v>
          </cell>
          <cell r="AS353">
            <v>18.549999999999997</v>
          </cell>
          <cell r="AU353">
            <v>0.25</v>
          </cell>
          <cell r="AW353">
            <v>15.012500000000001</v>
          </cell>
          <cell r="AY353">
            <v>22.91</v>
          </cell>
          <cell r="BA353">
            <v>13.15</v>
          </cell>
          <cell r="BC353">
            <v>21.2125</v>
          </cell>
          <cell r="BE353">
            <v>21.2125</v>
          </cell>
          <cell r="BG353">
            <v>6.887499999999999</v>
          </cell>
          <cell r="BI353">
            <v>22.125</v>
          </cell>
          <cell r="BK353">
            <v>40.45</v>
          </cell>
          <cell r="BM353">
            <v>13.15</v>
          </cell>
          <cell r="BO353">
            <v>5.25</v>
          </cell>
          <cell r="BQ353">
            <v>0.15</v>
          </cell>
          <cell r="BS353">
            <v>9.675</v>
          </cell>
          <cell r="BU353">
            <v>9.675</v>
          </cell>
          <cell r="BW353">
            <v>1.25</v>
          </cell>
          <cell r="BY353">
            <v>13.3375</v>
          </cell>
          <cell r="CA353">
            <v>0.15</v>
          </cell>
          <cell r="CC353">
            <v>40.074999999999996</v>
          </cell>
          <cell r="CE353">
            <v>0.15</v>
          </cell>
          <cell r="CG353">
            <v>1.0625</v>
          </cell>
          <cell r="CI353">
            <v>6.85</v>
          </cell>
          <cell r="CK353">
            <v>18.799999999999997</v>
          </cell>
          <cell r="CM353">
            <v>20.5375</v>
          </cell>
          <cell r="CO353">
            <v>24.749999999999996</v>
          </cell>
          <cell r="CQ353">
            <v>24.674999999999997</v>
          </cell>
          <cell r="CS353">
            <v>13.15</v>
          </cell>
          <cell r="CU353">
            <v>12.875</v>
          </cell>
          <cell r="CW353">
            <v>22.45</v>
          </cell>
          <cell r="CY353">
            <v>22.45</v>
          </cell>
          <cell r="DA353">
            <v>22.45</v>
          </cell>
          <cell r="DC353">
            <v>1</v>
          </cell>
          <cell r="DE353">
            <v>1.0625</v>
          </cell>
          <cell r="DG353">
            <v>6.499999999999999</v>
          </cell>
          <cell r="DI353">
            <v>7.6875</v>
          </cell>
          <cell r="DK353">
            <v>7.6875</v>
          </cell>
          <cell r="DM353">
            <v>22.125</v>
          </cell>
          <cell r="DO353">
            <v>6.75</v>
          </cell>
          <cell r="DQ353">
            <v>10.049999999999999</v>
          </cell>
          <cell r="DS353">
            <v>6.9625</v>
          </cell>
          <cell r="DU353">
            <v>0</v>
          </cell>
          <cell r="DY353">
            <v>39.45</v>
          </cell>
          <cell r="EA353">
            <v>38.550000000000004</v>
          </cell>
          <cell r="EC353">
            <v>13.3</v>
          </cell>
          <cell r="EE353">
            <v>29.84375</v>
          </cell>
        </row>
        <row r="354">
          <cell r="E354">
            <v>80.7375</v>
          </cell>
          <cell r="G354">
            <v>60.806250000000006</v>
          </cell>
          <cell r="I354">
            <v>60.65625000000001</v>
          </cell>
          <cell r="K354">
            <v>57.22500000000001</v>
          </cell>
          <cell r="M354">
            <v>48.08125</v>
          </cell>
          <cell r="O354">
            <v>52.85000000000001</v>
          </cell>
          <cell r="Q354">
            <v>68.15</v>
          </cell>
          <cell r="U354">
            <v>61.2875</v>
          </cell>
          <cell r="W354">
            <v>48.08125</v>
          </cell>
          <cell r="Y354">
            <v>64.55625</v>
          </cell>
          <cell r="AA354">
            <v>30.543750000000003</v>
          </cell>
          <cell r="AC354">
            <v>27.19375</v>
          </cell>
          <cell r="AE354">
            <v>69.06250000000001</v>
          </cell>
          <cell r="AG354">
            <v>67.1125</v>
          </cell>
          <cell r="AI354">
            <v>56.724999999999994</v>
          </cell>
          <cell r="AK354">
            <v>69.575</v>
          </cell>
          <cell r="AM354">
            <v>69.575</v>
          </cell>
          <cell r="AO354">
            <v>69.575</v>
          </cell>
          <cell r="AQ354">
            <v>33.84375</v>
          </cell>
          <cell r="AS354">
            <v>62.30625</v>
          </cell>
          <cell r="AU354">
            <v>91.81874999999998</v>
          </cell>
          <cell r="AW354">
            <v>31.362500000000004</v>
          </cell>
          <cell r="AY354">
            <v>65.185</v>
          </cell>
          <cell r="BA354">
            <v>38.7625</v>
          </cell>
          <cell r="BC354">
            <v>62.99999999999999</v>
          </cell>
          <cell r="BE354">
            <v>62.99999999999999</v>
          </cell>
          <cell r="BG354">
            <v>70.11875</v>
          </cell>
          <cell r="BI354">
            <v>84.76875</v>
          </cell>
          <cell r="BK354">
            <v>102.94999999999999</v>
          </cell>
          <cell r="BM354">
            <v>57.60625</v>
          </cell>
          <cell r="BO354">
            <v>57.706250000000004</v>
          </cell>
          <cell r="BQ354">
            <v>43.61875</v>
          </cell>
          <cell r="BS354">
            <v>77.36250000000001</v>
          </cell>
          <cell r="BU354">
            <v>77.36250000000001</v>
          </cell>
          <cell r="BW354">
            <v>79.16250000000001</v>
          </cell>
          <cell r="BY354">
            <v>59.693749999999994</v>
          </cell>
          <cell r="CA354">
            <v>58.9875</v>
          </cell>
          <cell r="CC354">
            <v>66.75625</v>
          </cell>
          <cell r="CE354">
            <v>53.09375</v>
          </cell>
          <cell r="CG354">
            <v>53.993750000000006</v>
          </cell>
          <cell r="CI354">
            <v>72.63749999999999</v>
          </cell>
          <cell r="CK354">
            <v>65.45625000000001</v>
          </cell>
          <cell r="CM354">
            <v>56.31875</v>
          </cell>
          <cell r="CO354">
            <v>44.93749999999999</v>
          </cell>
          <cell r="CQ354">
            <v>46.262499999999996</v>
          </cell>
          <cell r="CS354">
            <v>53.71875</v>
          </cell>
          <cell r="CU354">
            <v>65.65625</v>
          </cell>
          <cell r="CW354">
            <v>53.4375</v>
          </cell>
          <cell r="CY354">
            <v>53.4375</v>
          </cell>
          <cell r="DA354">
            <v>53.4375</v>
          </cell>
          <cell r="DC354">
            <v>45.225</v>
          </cell>
          <cell r="DE354">
            <v>63.13750000000001</v>
          </cell>
          <cell r="DG354">
            <v>68.50625</v>
          </cell>
          <cell r="DI354">
            <v>59.09375</v>
          </cell>
          <cell r="DK354">
            <v>59.09375</v>
          </cell>
          <cell r="DM354">
            <v>84.76875</v>
          </cell>
          <cell r="DO354">
            <v>50.475</v>
          </cell>
          <cell r="DQ354">
            <v>81.875</v>
          </cell>
          <cell r="DS354">
            <v>51.050000000000004</v>
          </cell>
          <cell r="DU354">
            <v>33.80625</v>
          </cell>
          <cell r="DW354">
            <v>63.143750000000004</v>
          </cell>
          <cell r="DY354">
            <v>64.04375</v>
          </cell>
          <cell r="EA354">
            <v>63.143750000000004</v>
          </cell>
          <cell r="EC354">
            <v>98.91875</v>
          </cell>
          <cell r="EE354">
            <v>91.3</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Landholder information"/>
      <sheetName val="Visit Log"/>
      <sheetName val="EoI"/>
      <sheetName val="Submission "/>
      <sheetName val="Agreement "/>
      <sheetName val="Current"/>
      <sheetName val="Sheet1"/>
    </sheetNames>
    <sheetDataSet>
      <sheetData sheetId="2">
        <row r="7">
          <cell r="A7">
            <v>1</v>
          </cell>
          <cell r="B7" t="str">
            <v>Gabiola </v>
          </cell>
          <cell r="C7" t="str">
            <v>Felix</v>
          </cell>
          <cell r="D7">
            <v>0</v>
          </cell>
          <cell r="E7" t="str">
            <v>Ayr</v>
          </cell>
          <cell r="F7" t="str">
            <v>Runoff Capture</v>
          </cell>
          <cell r="G7" t="str">
            <v>Establishment of Recycle Pit</v>
          </cell>
        </row>
        <row r="8">
          <cell r="A8">
            <v>2</v>
          </cell>
          <cell r="B8" t="str">
            <v>Cambruzzi </v>
          </cell>
          <cell r="C8" t="str">
            <v>Bortolo</v>
          </cell>
          <cell r="D8" t="str">
            <v>Millaroo</v>
          </cell>
          <cell r="E8" t="str">
            <v>Millaroo</v>
          </cell>
          <cell r="F8" t="str">
            <v>Recycle Irrigation </v>
          </cell>
          <cell r="G8" t="str">
            <v>Recycle Irrigation Trench &amp; Pumps.  </v>
          </cell>
        </row>
        <row r="9">
          <cell r="A9">
            <v>3</v>
          </cell>
          <cell r="B9" t="str">
            <v>Cambruzzi </v>
          </cell>
          <cell r="C9" t="str">
            <v>Bortolo</v>
          </cell>
          <cell r="D9" t="str">
            <v>Millaroo</v>
          </cell>
          <cell r="E9" t="str">
            <v>Millaroo</v>
          </cell>
          <cell r="F9" t="str">
            <v>Recycle Irrigation </v>
          </cell>
          <cell r="G9" t="str">
            <v>Recycle Irrigation Trench &amp; Pumps.</v>
          </cell>
        </row>
        <row r="10">
          <cell r="A10">
            <v>4</v>
          </cell>
          <cell r="B10" t="str">
            <v>MacElroy</v>
          </cell>
          <cell r="C10" t="str">
            <v>Bruce</v>
          </cell>
          <cell r="D10">
            <v>0</v>
          </cell>
          <cell r="E10" t="str">
            <v>Home Hill</v>
          </cell>
          <cell r="F10" t="str">
            <v>Holding Pit</v>
          </cell>
          <cell r="G10" t="str">
            <v>Construction of return drain and holding pit to hold water runoff into bordering creek</v>
          </cell>
        </row>
        <row r="11">
          <cell r="A11">
            <v>5</v>
          </cell>
          <cell r="B11" t="str">
            <v>Hawkins</v>
          </cell>
          <cell r="C11" t="str">
            <v>Donald</v>
          </cell>
          <cell r="D11">
            <v>0</v>
          </cell>
          <cell r="E11" t="str">
            <v>Brandon</v>
          </cell>
          <cell r="F11" t="str">
            <v>Recycle Pit</v>
          </cell>
          <cell r="G11" t="str">
            <v>Construction of recycle pit that will capture tailwater runoff 3 properites (200ha). .</v>
          </cell>
        </row>
        <row r="12">
          <cell r="A12">
            <v>6</v>
          </cell>
          <cell r="B12" t="str">
            <v>DeZolt</v>
          </cell>
          <cell r="C12" t="str">
            <v>John &amp; Diana</v>
          </cell>
          <cell r="D12">
            <v>0</v>
          </cell>
          <cell r="E12" t="str">
            <v>Brandon</v>
          </cell>
          <cell r="F12" t="str">
            <v>Pumping station</v>
          </cell>
          <cell r="G12" t="str">
            <v>The partly completed pumping station, when complete, will have ability to mix poor qulaity Groundwater with good quality channel water and being able to be recycled. (150ha) </v>
          </cell>
        </row>
        <row r="13">
          <cell r="A13">
            <v>7</v>
          </cell>
          <cell r="B13" t="str">
            <v>Morato </v>
          </cell>
          <cell r="C13" t="str">
            <v>Terry</v>
          </cell>
          <cell r="D13">
            <v>0</v>
          </cell>
          <cell r="E13" t="str">
            <v>Ayr</v>
          </cell>
          <cell r="F13" t="str">
            <v>Electronic Pumping system</v>
          </cell>
          <cell r="G13" t="str">
            <v>automated pumping system downstream of current river pumps with telemetry leading to a water runoff retention of close as possible to 100% for 1,200 ha</v>
          </cell>
        </row>
        <row r="14">
          <cell r="A14">
            <v>8</v>
          </cell>
          <cell r="B14" t="str">
            <v>Becke</v>
          </cell>
          <cell r="C14" t="str">
            <v>Ian</v>
          </cell>
          <cell r="D14">
            <v>0</v>
          </cell>
          <cell r="E14" t="str">
            <v>Home Hill </v>
          </cell>
          <cell r="F14" t="str">
            <v>Recycle Pit</v>
          </cell>
          <cell r="G14" t="str">
            <v>Construct a recycle pit to catch tail water and fisrst runoff after rain from 230 ha</v>
          </cell>
        </row>
        <row r="15">
          <cell r="A15">
            <v>9</v>
          </cell>
          <cell r="B15" t="str">
            <v>Defranciscis</v>
          </cell>
          <cell r="C15" t="str">
            <v>David</v>
          </cell>
          <cell r="D15">
            <v>0</v>
          </cell>
          <cell r="E15" t="str">
            <v>Ayr</v>
          </cell>
          <cell r="F15" t="str">
            <v>Lagoon works</v>
          </cell>
          <cell r="G15" t="str">
            <v>Redesign 2 existing lagoons to construct one large recycle pit to collect run off from 4 neighbouring farms (300 acres). Also resloping the draining will make it more efficient.</v>
          </cell>
        </row>
        <row r="16">
          <cell r="A16">
            <v>10</v>
          </cell>
          <cell r="B16" t="str">
            <v>Involata</v>
          </cell>
          <cell r="C16" t="str">
            <v>G</v>
          </cell>
          <cell r="D16">
            <v>0</v>
          </cell>
          <cell r="E16" t="str">
            <v>Clare</v>
          </cell>
          <cell r="F16" t="str">
            <v>Delta Magnets</v>
          </cell>
          <cell r="G16" t="str">
            <v>Usage of Delta Magnets to be installed on farm bores will improve salinity and crop life. At this stage there is only bore water access and it is decreasing crop and plant life and also decreaseing water quality. To be installed for 7 bores on farm</v>
          </cell>
        </row>
        <row r="17">
          <cell r="A17">
            <v>11</v>
          </cell>
          <cell r="B17" t="str">
            <v>Dowie</v>
          </cell>
          <cell r="C17" t="str">
            <v>Jason</v>
          </cell>
          <cell r="D17" t="str">
            <v>BSES</v>
          </cell>
          <cell r="E17" t="str">
            <v>Brandon</v>
          </cell>
          <cell r="F17" t="str">
            <v>Testing N</v>
          </cell>
          <cell r="G17" t="str">
            <v>By conducting soil tests and water quality analysis, it is proposed to find areas of excess nitrogen. Funding is for 20 soil tests and 20 water analysis for 20 different farms. </v>
          </cell>
        </row>
        <row r="18">
          <cell r="A18">
            <v>12</v>
          </cell>
          <cell r="B18" t="str">
            <v>Miller</v>
          </cell>
          <cell r="C18" t="str">
            <v>Greg</v>
          </cell>
          <cell r="D18">
            <v>0</v>
          </cell>
          <cell r="E18" t="str">
            <v>Brandon</v>
          </cell>
          <cell r="F18" t="str">
            <v>recycle Pit</v>
          </cell>
          <cell r="G18" t="str">
            <v>Finish off recycle pit started 12 months ago. Funding will purchase a submersable 3phase 3inch pump and a smal amount of earthworks.</v>
          </cell>
        </row>
        <row r="19">
          <cell r="A19">
            <v>13</v>
          </cell>
          <cell r="B19" t="str">
            <v>Miller</v>
          </cell>
          <cell r="C19" t="str">
            <v>Greg</v>
          </cell>
          <cell r="D19">
            <v>0</v>
          </cell>
          <cell r="E19" t="str">
            <v>woodstock</v>
          </cell>
          <cell r="F19" t="str">
            <v>Grain Silo's</v>
          </cell>
          <cell r="G19" t="str">
            <v>not ledgible</v>
          </cell>
        </row>
        <row r="20">
          <cell r="A20">
            <v>14</v>
          </cell>
          <cell r="B20" t="str">
            <v>Gorizia</v>
          </cell>
          <cell r="C20" t="str">
            <v>John &amp; Frank</v>
          </cell>
          <cell r="D20">
            <v>0</v>
          </cell>
          <cell r="E20" t="str">
            <v>Brandon</v>
          </cell>
          <cell r="F20" t="str">
            <v>Recycle pit</v>
          </cell>
          <cell r="G20" t="str">
            <v>design and instal a recycle pit to catch 200 acres of tailwater</v>
          </cell>
        </row>
        <row r="21">
          <cell r="A21">
            <v>15</v>
          </cell>
          <cell r="B21" t="str">
            <v>Rubido &amp; Gorizia</v>
          </cell>
          <cell r="C21" t="str">
            <v>Peter &amp; Lorraine</v>
          </cell>
          <cell r="D21">
            <v>0</v>
          </cell>
          <cell r="E21" t="str">
            <v>Brandon</v>
          </cell>
          <cell r="F21" t="str">
            <v>Drainage works</v>
          </cell>
          <cell r="G21" t="str">
            <v>improving draining effieciency of an established recycle pit </v>
          </cell>
        </row>
        <row r="22">
          <cell r="A22">
            <v>16</v>
          </cell>
          <cell r="B22" t="str">
            <v>Booth</v>
          </cell>
          <cell r="C22" t="str">
            <v>Ken</v>
          </cell>
          <cell r="D22">
            <v>0</v>
          </cell>
          <cell r="E22" t="str">
            <v>Clare</v>
          </cell>
          <cell r="F22" t="str">
            <v>Channel work</v>
          </cell>
          <cell r="G22" t="str">
            <v>Replacing open channel system with pipes to improve water scheduling and cut down evaporation and soakage. Proposed recycle earthworks and pumps. Area for recycle pit is 12 acres with some catchment of water in place</v>
          </cell>
        </row>
        <row r="23">
          <cell r="A23">
            <v>17</v>
          </cell>
          <cell r="B23" t="str">
            <v>Hawkins</v>
          </cell>
          <cell r="C23" t="str">
            <v>RM &amp; PA</v>
          </cell>
          <cell r="D23">
            <v>0</v>
          </cell>
          <cell r="E23" t="str">
            <v>Brandon</v>
          </cell>
          <cell r="F23" t="str">
            <v>Power for existing pit</v>
          </cell>
          <cell r="G23" t="str">
            <v>I have had a large recycle pit constructed on my farm in the BRIA for 3 years which I cannot utilise. I wish to apply for funding to assist me with supplying power to this site. It is not viable for me to outlay the costs involved with installing a transf</v>
          </cell>
        </row>
        <row r="24">
          <cell r="A24">
            <v>18</v>
          </cell>
          <cell r="B24" t="str">
            <v>McAllister</v>
          </cell>
          <cell r="C24" t="str">
            <v>Bill &amp; Robyn</v>
          </cell>
          <cell r="D24" t="str">
            <v>Shrank Rd Farm</v>
          </cell>
          <cell r="E24" t="str">
            <v>Ayr</v>
          </cell>
          <cell r="F24" t="str">
            <v>Recycle pit</v>
          </cell>
          <cell r="G24" t="str">
            <v>I have drawn up plans for a recycle pit to contain water runoff from cane land that has a trash blanket. Also, Intentions of buying a stool splitter fert box for green cane harvesting. I am looking forward to presenting a submission for funding. </v>
          </cell>
        </row>
        <row r="25">
          <cell r="A25">
            <v>19</v>
          </cell>
          <cell r="B25" t="str">
            <v>Searle</v>
          </cell>
          <cell r="C25" t="str">
            <v>RJ &amp; DL</v>
          </cell>
          <cell r="D25">
            <v>0</v>
          </cell>
          <cell r="E25" t="str">
            <v>Ayr</v>
          </cell>
          <cell r="F25" t="str">
            <v>Recycle pit </v>
          </cell>
          <cell r="G25" t="str">
            <v>Construct a recycle pit approx 40m x 20m areas that drain into the pit include our cane land- 32 acres, and neighbouring cane land 100 acres, a 12 acre mango orchid and free range egg farm. Requirements include a 300m pipeline, 6 inch pump, cable connecti</v>
          </cell>
        </row>
        <row r="26">
          <cell r="A26">
            <v>20</v>
          </cell>
          <cell r="B26" t="str">
            <v>Populin</v>
          </cell>
          <cell r="C26" t="str">
            <v>Micheal</v>
          </cell>
          <cell r="D26">
            <v>0</v>
          </cell>
          <cell r="E26" t="str">
            <v>Home Hill</v>
          </cell>
          <cell r="F26" t="str">
            <v>Recycle pit</v>
          </cell>
          <cell r="G26" t="str">
            <v>To make storage capacity of recycle pits larger and infrastructure. </v>
          </cell>
        </row>
        <row r="27">
          <cell r="A27">
            <v>21</v>
          </cell>
          <cell r="B27" t="str">
            <v>Quagliata</v>
          </cell>
          <cell r="C27" t="str">
            <v>John</v>
          </cell>
          <cell r="D27">
            <v>0</v>
          </cell>
          <cell r="E27" t="str">
            <v>Home Hill</v>
          </cell>
          <cell r="F27" t="str">
            <v>Recycle Pit</v>
          </cell>
          <cell r="G27" t="str">
            <v>Recycle pit catchment area. 100 acres plus adjoining farms of approx 100 acres plus 100 acres of horticultural land from Mt Kelly &amp; runoff from adjoining farms. Pit could be of any size needed as we have ample land. All runoff runs into sheepo station cre</v>
          </cell>
        </row>
        <row r="28">
          <cell r="A28">
            <v>22</v>
          </cell>
          <cell r="B28" t="str">
            <v>Harness</v>
          </cell>
          <cell r="C28" t="str">
            <v>Scott</v>
          </cell>
          <cell r="D28" t="str">
            <v>Scott Alexander Harness</v>
          </cell>
          <cell r="E28" t="str">
            <v>Clare</v>
          </cell>
          <cell r="F28" t="str">
            <v>Pipe Line</v>
          </cell>
          <cell r="G28" t="str">
            <v>Install a 200m pipe line to recycle tail water from sunwater drain from approx 1000 acres of cane land in the Clare area. We also have 20 acres of grazing land at the bottom of our farm, with which the right infrastructure (check structure), to divert our</v>
          </cell>
        </row>
        <row r="29">
          <cell r="A29">
            <v>23</v>
          </cell>
          <cell r="B29" t="str">
            <v>Searle</v>
          </cell>
          <cell r="C29" t="str">
            <v>RJ &amp; DL</v>
          </cell>
          <cell r="D29">
            <v>0</v>
          </cell>
          <cell r="E29" t="str">
            <v>Ayr</v>
          </cell>
          <cell r="F29" t="str">
            <v>Recycle pit</v>
          </cell>
          <cell r="G29" t="str">
            <v>Construct a recycle pit approx 40m x 20m areas that drain into the pit include our cane land- 32 acres, and neighbouring cane land 100 acres, a 12 acre mango orchid and free range egg farm. Requirements include a 300m pipeline, 6 inch pump, cable connecti</v>
          </cell>
        </row>
        <row r="30">
          <cell r="A30">
            <v>24</v>
          </cell>
          <cell r="B30" t="str">
            <v>Kovacich</v>
          </cell>
          <cell r="C30" t="str">
            <v>Cy</v>
          </cell>
          <cell r="D30">
            <v>0</v>
          </cell>
          <cell r="E30" t="str">
            <v>Clare</v>
          </cell>
          <cell r="F30" t="str">
            <v>Trickle Irrigation</v>
          </cell>
          <cell r="G30" t="str">
            <v>I am proposing a trickel irrigation site on our 1.8 m beds (dual row cane) to investigate and compare it against our standard systems</v>
          </cell>
        </row>
        <row r="31">
          <cell r="A31">
            <v>25</v>
          </cell>
          <cell r="B31" t="str">
            <v>Kovacich</v>
          </cell>
          <cell r="C31" t="str">
            <v>Cy</v>
          </cell>
          <cell r="D31">
            <v>0</v>
          </cell>
          <cell r="E31" t="str">
            <v>Clare</v>
          </cell>
          <cell r="F31" t="str">
            <v>Recycle pit</v>
          </cell>
          <cell r="G31" t="str">
            <v>Talroar Pty Ltd farms both L32 and L35 seperated by Sunwater drain RB3. I am proposing a reccyle pit on L32 with piping and power supply. This infrastructure will be capable of supply to L 35 and will enable a more constant ability to use recycled water. </v>
          </cell>
        </row>
        <row r="32">
          <cell r="A32">
            <v>26</v>
          </cell>
          <cell r="B32" t="str">
            <v>Christofides</v>
          </cell>
          <cell r="C32" t="str">
            <v>Con</v>
          </cell>
          <cell r="D32">
            <v>0</v>
          </cell>
          <cell r="E32" t="str">
            <v>Ayr</v>
          </cell>
          <cell r="F32" t="str">
            <v>Shielded Sprayer</v>
          </cell>
          <cell r="G32" t="str">
            <v>Shielded sprayer capable of spraying non-residual chemicals in both sugar cane &amp; legumes. Ability to change from bare and fallow legume crop on preformed beds. Minimal GW disturbance, eliminate the reliance on residual chemicals such as Atrazine and Diuro</v>
          </cell>
        </row>
        <row r="33">
          <cell r="A33">
            <v>27</v>
          </cell>
          <cell r="B33" t="str">
            <v>Jordan</v>
          </cell>
          <cell r="C33" t="str">
            <v>Russell</v>
          </cell>
          <cell r="D33">
            <v>0</v>
          </cell>
          <cell r="E33" t="str">
            <v>Home Hill</v>
          </cell>
          <cell r="F33" t="str">
            <v>GPS unit</v>
          </cell>
          <cell r="G33" t="str">
            <v>I would like to apply for a GPS unit to convert my farm into a controlled traffic minmum tillage system. The GPS unit would also allow correct positioning for fertilizer and reduce fertilizer getting into the water furrow and exiting runoff. </v>
          </cell>
        </row>
        <row r="34">
          <cell r="A34">
            <v>28</v>
          </cell>
          <cell r="B34" t="str">
            <v>Callow</v>
          </cell>
          <cell r="C34" t="str">
            <v>Tom</v>
          </cell>
          <cell r="D34" t="str">
            <v>Walls Farm</v>
          </cell>
          <cell r="E34" t="str">
            <v>Home Hill </v>
          </cell>
          <cell r="F34" t="str">
            <v>Combining Paddocks </v>
          </cell>
          <cell r="G34" t="str">
            <v>To bring 2 paddocks into one th improve the irrigation of this section of the farm reduced runoff and less evaporation. </v>
          </cell>
        </row>
        <row r="35">
          <cell r="A35">
            <v>29</v>
          </cell>
          <cell r="B35" t="str">
            <v>Cornford</v>
          </cell>
          <cell r="C35" t="str">
            <v>Jeff</v>
          </cell>
          <cell r="D35" t="str">
            <v>Millaroo</v>
          </cell>
          <cell r="E35" t="str">
            <v>Millaroo</v>
          </cell>
          <cell r="F35" t="str">
            <v>Drain Works</v>
          </cell>
          <cell r="G35" t="str">
            <v>The aim is to minmise surface water runoff from ours and 2 adjoining properties into swan's lagoon &amp; into the Burdekin system. By altering the slope along the boundary drain, water will be able to be collected in recycle pits at the northern end of the lo</v>
          </cell>
        </row>
        <row r="36">
          <cell r="A36">
            <v>30</v>
          </cell>
          <cell r="B36" t="str">
            <v>Cacciola</v>
          </cell>
          <cell r="C36" t="str">
            <v>Charlie</v>
          </cell>
          <cell r="D36">
            <v>0</v>
          </cell>
          <cell r="E36" t="str">
            <v>Ayr</v>
          </cell>
          <cell r="F36" t="str">
            <v>Trash Splitter </v>
          </cell>
          <cell r="G36" t="str">
            <v>An implement we call "Trash Splitter" which we designed in conjuntion with BSES. We use this implement in a variety of situations to conserve water. Due to the popularity of this implement we need to replace the prototype  with a commercial model to satis</v>
          </cell>
        </row>
        <row r="37">
          <cell r="A37">
            <v>31</v>
          </cell>
          <cell r="B37" t="str">
            <v>Catalano</v>
          </cell>
          <cell r="C37" t="str">
            <v>Frank</v>
          </cell>
          <cell r="D37" t="str">
            <v>Joe Catalano</v>
          </cell>
          <cell r="E37" t="str">
            <v>Brandon</v>
          </cell>
          <cell r="F37" t="str">
            <v>Recycling Water</v>
          </cell>
          <cell r="G37" t="str">
            <v>To reduce the possibility of water potentially containing higher than normal pesticelds and fertilizer amount leaving our farm and ending up in catchments, we propose that we create a closed system by recycling all of our tailwater. Currently, we have a s</v>
          </cell>
        </row>
        <row r="38">
          <cell r="A38">
            <v>32</v>
          </cell>
          <cell r="B38" t="str">
            <v>Davies </v>
          </cell>
          <cell r="C38" t="str">
            <v>Bryce</v>
          </cell>
          <cell r="D38" t="str">
            <v>544 Woods Road</v>
          </cell>
          <cell r="E38" t="str">
            <v>Ayr</v>
          </cell>
          <cell r="F38" t="str">
            <v>Trickle Irrigation</v>
          </cell>
          <cell r="G38" t="str">
            <v>To improve water use effieciency, reduce surface runoff and deep drainage, implement a sub surface trickle irrigation system. Initially on a 4 ha trial area </v>
          </cell>
        </row>
        <row r="39">
          <cell r="A39">
            <v>33</v>
          </cell>
          <cell r="B39" t="str">
            <v>Juffs</v>
          </cell>
          <cell r="C39" t="str">
            <v>Robin</v>
          </cell>
          <cell r="D39">
            <v>0</v>
          </cell>
          <cell r="E39">
            <v>0</v>
          </cell>
          <cell r="F39" t="str">
            <v>Recycle Pit</v>
          </cell>
          <cell r="G39" t="str">
            <v>Inteception of water which runs into Barratta Ck via Recycle pits, and then by returning the intercepted water back onto farm for irrigation. On some of these recently purchase farms some infrastructure (recycle pits, drains, &amp; pipes ect) have been partia</v>
          </cell>
        </row>
        <row r="40">
          <cell r="A40">
            <v>34</v>
          </cell>
          <cell r="B40" t="str">
            <v>Ahern</v>
          </cell>
          <cell r="C40" t="str">
            <v>Robert</v>
          </cell>
          <cell r="D40">
            <v>0</v>
          </cell>
          <cell r="E40" t="str">
            <v>Ayr</v>
          </cell>
          <cell r="F40" t="str">
            <v>GPS units</v>
          </cell>
          <cell r="G40" t="str">
            <v>GPS units</v>
          </cell>
        </row>
        <row r="41">
          <cell r="A41">
            <v>35</v>
          </cell>
          <cell r="B41" t="str">
            <v>Ahern</v>
          </cell>
          <cell r="C41" t="str">
            <v>Robert</v>
          </cell>
          <cell r="D41">
            <v>0</v>
          </cell>
          <cell r="E41" t="str">
            <v>Ayr</v>
          </cell>
          <cell r="F41" t="str">
            <v>Bed-former</v>
          </cell>
          <cell r="G41" t="str">
            <v>Robert Ahern is applying for funding for a bed former. Robert owns a 174 ha property that would all be planted into preformed beds if this application is successful. Robert is part of a planting cooperative that would use a bed former to plant around 175 </v>
          </cell>
        </row>
        <row r="42">
          <cell r="A42">
            <v>36</v>
          </cell>
          <cell r="B42" t="str">
            <v>Morano</v>
          </cell>
          <cell r="C42" t="str">
            <v>Rob</v>
          </cell>
          <cell r="D42" t="str">
            <v>Town Block</v>
          </cell>
          <cell r="E42" t="str">
            <v>Ayr</v>
          </cell>
          <cell r="F42" t="str">
            <v>Spinning Wheel Rake</v>
          </cell>
          <cell r="G42" t="str">
            <v>I would like to improve water quality and sediment runoff on a property I have in the town of AYR. The total area of the properety is 10 ha that borders houses in the GibsonStreet Area. Bieng so close to town the property is heavily scrutinised by townfol</v>
          </cell>
        </row>
        <row r="43">
          <cell r="A43">
            <v>37</v>
          </cell>
          <cell r="B43" t="str">
            <v>Jones</v>
          </cell>
          <cell r="C43" t="str">
            <v>Ryan</v>
          </cell>
          <cell r="D43">
            <v>0</v>
          </cell>
          <cell r="E43" t="str">
            <v>Ayr</v>
          </cell>
          <cell r="F43" t="str">
            <v>Hooded Sprayers</v>
          </cell>
          <cell r="G43" t="str">
            <v>Purchase of 4 row hooded spray unit so that weeds in cane can be sprayed with knock down chemicals such as roundup and instread of residual chemicals like atrazine or diuron. All our farms are on the cost at Jarvisfield and on the end of water wayts and c</v>
          </cell>
        </row>
        <row r="44">
          <cell r="A44">
            <v>38</v>
          </cell>
          <cell r="B44" t="str">
            <v>Stevens</v>
          </cell>
          <cell r="C44" t="str">
            <v>Jim</v>
          </cell>
          <cell r="D44">
            <v>0</v>
          </cell>
          <cell r="E44" t="str">
            <v>Home Hill</v>
          </cell>
          <cell r="F44" t="str">
            <v>Electric Motor</v>
          </cell>
          <cell r="G44" t="str">
            <v>I need to upgrade the existing single phase power supply to 3 phase and install a 10 kw motor and pump. Also a farm drain on the eastern side needs to be cleaned out with an excavator. This will enable me to capture all tailwater irrigation and some surfa</v>
          </cell>
        </row>
        <row r="45">
          <cell r="A45">
            <v>39</v>
          </cell>
          <cell r="B45" t="str">
            <v>Hoey</v>
          </cell>
          <cell r="C45" t="str">
            <v>JD, PM, MD &amp; MP</v>
          </cell>
          <cell r="D45" t="str">
            <v>Muens, Woodlands and Hazeldene</v>
          </cell>
          <cell r="E45" t="str">
            <v>Brandon</v>
          </cell>
          <cell r="F45" t="str">
            <v>Multiple projects</v>
          </cell>
          <cell r="G45" t="str">
            <v>Lazer levelling, poly pipe installation, 3 recycle pits, Surface and groundwater setup. </v>
          </cell>
        </row>
        <row r="46">
          <cell r="A46">
            <v>40</v>
          </cell>
          <cell r="B46" t="str">
            <v>Fiamingo</v>
          </cell>
          <cell r="C46" t="str">
            <v>Peter </v>
          </cell>
          <cell r="D46">
            <v>0</v>
          </cell>
          <cell r="E46" t="str">
            <v>Ayr</v>
          </cell>
          <cell r="F46" t="str">
            <v>Recycle Pit </v>
          </cell>
          <cell r="G46" t="str">
            <v>My property size is 153 ha currenlty growing cane. I am planning to plant cover crops in beds during fallow. I am also looking to plant other crops such as cotton and beans. I have started paddocks of 2 permanent 2 metre twin row beds spaced at .8m. I pla</v>
          </cell>
        </row>
        <row r="47">
          <cell r="A47">
            <v>41</v>
          </cell>
          <cell r="B47" t="str">
            <v>Rapisarda &amp; Mohr</v>
          </cell>
          <cell r="C47" t="str">
            <v>Sib &amp; Merv</v>
          </cell>
          <cell r="D47" t="str">
            <v>Rapisarda Enterprises</v>
          </cell>
          <cell r="E47" t="str">
            <v>Ayr</v>
          </cell>
          <cell r="F47" t="str">
            <v>Pit, Power &amp; Pump</v>
          </cell>
          <cell r="G47" t="str">
            <v>Building of a recycle pit 350m x 18m x 6m. Bringing power to the site. Installation of a pump and delivery to existing system. The above would be coupled with redisgen of the farm to reduce the amount of runoff</v>
          </cell>
        </row>
        <row r="48">
          <cell r="A48">
            <v>42</v>
          </cell>
          <cell r="B48" t="str">
            <v>Tudehope</v>
          </cell>
          <cell r="C48" t="str">
            <v>Bill</v>
          </cell>
          <cell r="D48" t="str">
            <v>Landers Creek</v>
          </cell>
          <cell r="E48" t="str">
            <v>Ayr</v>
          </cell>
          <cell r="F48" t="str">
            <v>Pit and Fencing</v>
          </cell>
          <cell r="G48" t="str">
            <v>CANE: I am interested in putting in a recycle pit at the bottom of my farm to help control runoff. GRAZING: We are interested in fencing and stock water relocationto allow us to keep stock from landers creek and hopefully implement a burning regime to con</v>
          </cell>
        </row>
        <row r="49">
          <cell r="A49">
            <v>43</v>
          </cell>
          <cell r="B49" t="str">
            <v>Santarossa</v>
          </cell>
          <cell r="C49" t="str">
            <v>Bruno</v>
          </cell>
          <cell r="D49">
            <v>0</v>
          </cell>
          <cell r="E49" t="str">
            <v>Home Hill</v>
          </cell>
          <cell r="F49" t="str">
            <v>Legume Planter</v>
          </cell>
          <cell r="G49" t="str">
            <v>Purchase of Legume planter to be used by several farmers in the downriver Home Hill area covering approx 1000 ha. Used for fallow management to establish a cover crop of beans. Benefits include: Reduced Runoff as opposed to bare fallow, control of weeds- </v>
          </cell>
        </row>
        <row r="50">
          <cell r="A50">
            <v>44</v>
          </cell>
          <cell r="B50" t="str">
            <v>Butler</v>
          </cell>
          <cell r="C50" t="str">
            <v>Shane</v>
          </cell>
          <cell r="D50" t="str">
            <v>SISL Cane Farm Management</v>
          </cell>
          <cell r="E50" t="str">
            <v>Ayr</v>
          </cell>
          <cell r="F50" t="str">
            <v>Pit extension</v>
          </cell>
          <cell r="G50" t="str">
            <v>We would like to extend our recycle pit to be more efficeient and have less runoff. Area of 170 ha approx</v>
          </cell>
        </row>
        <row r="51">
          <cell r="A51">
            <v>45</v>
          </cell>
          <cell r="B51" t="str">
            <v>Butler</v>
          </cell>
          <cell r="C51" t="str">
            <v>Shane</v>
          </cell>
          <cell r="D51" t="str">
            <v>SISL Cane Farm Management</v>
          </cell>
          <cell r="E51" t="str">
            <v>Ayr</v>
          </cell>
          <cell r="F51" t="str">
            <v>Recycle pit</v>
          </cell>
          <cell r="G51" t="str">
            <v>Build a recycle pit on this farm (approx125ha) to catch tailwater for recycleing this will save us water and save us water and save runoff into the Barratta system. </v>
          </cell>
        </row>
        <row r="52">
          <cell r="A52">
            <v>46</v>
          </cell>
          <cell r="B52" t="str">
            <v>Ahern</v>
          </cell>
          <cell r="C52" t="str">
            <v>Steve</v>
          </cell>
          <cell r="D52" t="str">
            <v>The Curragh</v>
          </cell>
          <cell r="E52" t="str">
            <v>Ayr</v>
          </cell>
          <cell r="F52" t="str">
            <v>No details</v>
          </cell>
          <cell r="G52" t="str">
            <v>No details provided</v>
          </cell>
        </row>
        <row r="53">
          <cell r="A53">
            <v>47</v>
          </cell>
          <cell r="B53" t="str">
            <v>Piva</v>
          </cell>
          <cell r="C53" t="str">
            <v>Roger</v>
          </cell>
          <cell r="D53">
            <v>0</v>
          </cell>
          <cell r="E53" t="str">
            <v>Home Hill</v>
          </cell>
          <cell r="F53" t="str">
            <v>Stool Splitter</v>
          </cell>
          <cell r="G53" t="str">
            <v>Purchase of a stool splitter to enable cutting of green cane on majority of farm. Purchase of bean planter to stop runofff in fallow paddock. Plating of trees</v>
          </cell>
        </row>
        <row r="54">
          <cell r="A54">
            <v>48</v>
          </cell>
          <cell r="B54" t="str">
            <v>Becke</v>
          </cell>
          <cell r="C54" t="str">
            <v>Ian</v>
          </cell>
          <cell r="D54" t="str">
            <v>Leichardt Harvesting</v>
          </cell>
          <cell r="E54" t="str">
            <v>Home Hill</v>
          </cell>
          <cell r="F54" t="str">
            <v>Precision planter</v>
          </cell>
          <cell r="G54" t="str">
            <v>To purchase precision planter for the co-op. To plant legume crops in the fallow cane blocks of the co-op members and other farmers blocks. This will reduce sediment runoff, herbicide application, and the need of rthe application of inorganic nitorgen and</v>
          </cell>
        </row>
        <row r="55">
          <cell r="A55">
            <v>49</v>
          </cell>
          <cell r="B55" t="str">
            <v>Collins </v>
          </cell>
          <cell r="C55" t="str">
            <v>Bernice, Carl, Catherine, Evan, Veronica Wilson</v>
          </cell>
          <cell r="D55" t="str">
            <v>Cardington Station</v>
          </cell>
          <cell r="E55" t="str">
            <v>Townsville</v>
          </cell>
          <cell r="G55" t="str">
            <v>Spelled 4 paddocks includeiong 2 that we spelled for 12 months to improve grass cover. Cleaded and improved old dam and well to repair 2 more dams also put a new tanks and 6km of poly to move cattle away from 4 mile creek</v>
          </cell>
        </row>
        <row r="56">
          <cell r="A56">
            <v>50</v>
          </cell>
          <cell r="B56">
            <v>0</v>
          </cell>
          <cell r="C56">
            <v>0</v>
          </cell>
          <cell r="D56" t="str">
            <v>Japco Farming Pty Ltd</v>
          </cell>
          <cell r="E56" t="str">
            <v>Home Hill</v>
          </cell>
          <cell r="F56" t="str">
            <v>Recycle Pit</v>
          </cell>
          <cell r="G56" t="str">
            <v>Water recycle pit approx 400-500m x 18m x 4m. Approx 1 km of underground irrigation pipes. Main aim is to conserve water and irrigation management. </v>
          </cell>
        </row>
        <row r="57">
          <cell r="A57">
            <v>51</v>
          </cell>
          <cell r="B57" t="str">
            <v>Linton</v>
          </cell>
          <cell r="C57" t="str">
            <v>Joe</v>
          </cell>
          <cell r="D57">
            <v>0</v>
          </cell>
          <cell r="E57" t="str">
            <v>Home Hill</v>
          </cell>
          <cell r="F57" t="str">
            <v>Landscaping</v>
          </cell>
          <cell r="G57" t="str">
            <v>This property has a large dry lagoons that have been excavated in past years. I would belivie that relandscaping the bottom of these areas would create many benefits. </v>
          </cell>
        </row>
        <row r="58">
          <cell r="A58">
            <v>52</v>
          </cell>
          <cell r="B58" t="str">
            <v>Jones</v>
          </cell>
          <cell r="C58" t="str">
            <v>Jim &amp; Janice</v>
          </cell>
          <cell r="D58" t="str">
            <v>Blackgold Farms</v>
          </cell>
          <cell r="E58" t="str">
            <v>Ayr</v>
          </cell>
          <cell r="F58" t="str">
            <v>Fencing &amp; bio-fertilizer</v>
          </cell>
          <cell r="G58" t="str">
            <v>Grazing: We would like to increase our rotational grazing as we have paddocks and need more fencing and water points to be efficient. CANE: An application to use biofertilizer eg mollases and infrastruture to use bio fertilizer. ENVIRONMENT: Managae our w</v>
          </cell>
        </row>
        <row r="59">
          <cell r="A59">
            <v>53</v>
          </cell>
          <cell r="B59" t="str">
            <v>Pilla</v>
          </cell>
          <cell r="C59" t="str">
            <v>Primo</v>
          </cell>
          <cell r="D59" t="str">
            <v>Link Rd</v>
          </cell>
          <cell r="E59" t="str">
            <v>Giru</v>
          </cell>
          <cell r="F59" t="str">
            <v>Piepline</v>
          </cell>
          <cell r="G59" t="str">
            <v>To establish a pieline connected to healy's lagoon. Fax transmittion did not come out the best. </v>
          </cell>
        </row>
        <row r="60">
          <cell r="A60">
            <v>54</v>
          </cell>
          <cell r="B60" t="str">
            <v>Rigano</v>
          </cell>
          <cell r="C60" t="str">
            <v>Giuseppe</v>
          </cell>
          <cell r="D60">
            <v>0</v>
          </cell>
          <cell r="E60" t="str">
            <v>Home Hill</v>
          </cell>
          <cell r="F60" t="str">
            <v>High clearance tractor &amp; pipework</v>
          </cell>
          <cell r="G60" t="str">
            <v>Farm 1: Proposal to convert a high clearance tractor to a spraying outfit to enable reduced or minimum tillage and eventually zero tillage. Farm 2: Plans to hire an excavator to dig a tail water drain and installing 300 metres of 250mm PVC pipes and a 100</v>
          </cell>
        </row>
        <row r="61">
          <cell r="A61">
            <v>55</v>
          </cell>
          <cell r="B61" t="str">
            <v>Lando</v>
          </cell>
          <cell r="C61" t="str">
            <v>SP, DB, BR, MA &amp; Stephen</v>
          </cell>
          <cell r="D61" t="str">
            <v>Jardine</v>
          </cell>
          <cell r="E61" t="str">
            <v>Brandon </v>
          </cell>
          <cell r="F61" t="str">
            <v>Recycle Pit</v>
          </cell>
          <cell r="G61" t="str">
            <v>Recycle pit and associated infrastrucure on 125 ha  of sugar cane  in Jardine BRIA area</v>
          </cell>
        </row>
        <row r="62">
          <cell r="A62">
            <v>56</v>
          </cell>
          <cell r="B62" t="str">
            <v>Lando</v>
          </cell>
          <cell r="C62" t="str">
            <v>SP, DB, BR, MA &amp; Stephen</v>
          </cell>
          <cell r="D62" t="str">
            <v>Collinsons Lagoon</v>
          </cell>
          <cell r="E62" t="str">
            <v>Brandon </v>
          </cell>
          <cell r="F62" t="str">
            <v>Recycle Pit</v>
          </cell>
          <cell r="G62" t="str">
            <v>Recycling pit and associated infrastructure on approx 230ha of cane land darining to collinsons lagoon, bruce highway.  </v>
          </cell>
        </row>
        <row r="63">
          <cell r="A63">
            <v>57</v>
          </cell>
          <cell r="B63" t="str">
            <v>Matthews</v>
          </cell>
          <cell r="C63" t="str">
            <v>Ryan</v>
          </cell>
          <cell r="D63">
            <v>0</v>
          </cell>
          <cell r="E63" t="str">
            <v>Ayr</v>
          </cell>
          <cell r="F63" t="str">
            <v>Ineligble</v>
          </cell>
          <cell r="G63" t="str">
            <v>Ineligble</v>
          </cell>
        </row>
        <row r="64">
          <cell r="A64">
            <v>58</v>
          </cell>
          <cell r="B64" t="str">
            <v>Matthews</v>
          </cell>
          <cell r="C64" t="str">
            <v>Ryan</v>
          </cell>
          <cell r="D64">
            <v>0</v>
          </cell>
          <cell r="E64" t="str">
            <v>Ayr</v>
          </cell>
          <cell r="F64" t="str">
            <v>Ineligble</v>
          </cell>
          <cell r="G64" t="str">
            <v>Ineligble</v>
          </cell>
        </row>
        <row r="65">
          <cell r="A65">
            <v>59</v>
          </cell>
          <cell r="B65" t="str">
            <v>Wight</v>
          </cell>
          <cell r="C65" t="str">
            <v>Glen</v>
          </cell>
          <cell r="D65" t="str">
            <v>Wright Family Trust</v>
          </cell>
          <cell r="E65" t="str">
            <v>Ayr</v>
          </cell>
          <cell r="F65" t="str">
            <v>Stool Splitter</v>
          </cell>
          <cell r="G65" t="str">
            <v>At present of our farm of 60 ha we feel there is a lot of nutrient and sediment waste running away from our paddocks and into the waterways. If we were to purcahe a 3 row stool splitter we could minimise this runoff. This will enable us to min=mise our cu</v>
          </cell>
        </row>
        <row r="66">
          <cell r="A66">
            <v>60</v>
          </cell>
          <cell r="B66" t="str">
            <v>Ried</v>
          </cell>
          <cell r="C66" t="str">
            <v>Jeff &amp; Jenny</v>
          </cell>
          <cell r="D66" t="str">
            <v>Billabong</v>
          </cell>
          <cell r="E66" t="str">
            <v>Hughenden</v>
          </cell>
          <cell r="F66" t="str">
            <v>Sediment traps</v>
          </cell>
          <cell r="G66" t="str">
            <v>Catch all the runoff from 500 acresinto sediment traps and recycle back into for irrigation use. This will enable use to cell graze our cattle in the irrigataion and also to take pressure of the native pasture fanecing the property into smaller areas to s</v>
          </cell>
        </row>
        <row r="67">
          <cell r="A67">
            <v>61</v>
          </cell>
          <cell r="B67" t="str">
            <v>Deambrosis</v>
          </cell>
          <cell r="C67" t="str">
            <v>GL &amp; CE</v>
          </cell>
          <cell r="D67">
            <v>0</v>
          </cell>
          <cell r="E67" t="str">
            <v>Brandon</v>
          </cell>
          <cell r="F67" t="str">
            <v>Pit extension</v>
          </cell>
          <cell r="G67" t="str">
            <v>The cane farm consists of 300 acres. I have a recycle pit that collects water from 150acres. With this funding I will increase capacity to to collect water from the other 150 acres. </v>
          </cell>
        </row>
        <row r="68">
          <cell r="A68">
            <v>62</v>
          </cell>
          <cell r="B68" t="str">
            <v>McShane</v>
          </cell>
          <cell r="C68" t="str">
            <v>Sean</v>
          </cell>
          <cell r="D68" t="str">
            <v>McShane Produce</v>
          </cell>
          <cell r="E68" t="str">
            <v>Dalbeg</v>
          </cell>
          <cell r="F68" t="str">
            <v>Drip irrigation</v>
          </cell>
          <cell r="G68" t="str">
            <v>To install a subsurface drip irrgation system on a 37.3 ha to compliment the existing changes of controlled traffic, permenent bed, dual row cane, integrated afarming system. By introducing the subsurface irrigation system, will illiminate runoff and enab</v>
          </cell>
        </row>
        <row r="69">
          <cell r="A69">
            <v>63</v>
          </cell>
          <cell r="B69" t="str">
            <v>Viero</v>
          </cell>
          <cell r="C69" t="str">
            <v>DA &amp; HL</v>
          </cell>
          <cell r="D69">
            <v>0</v>
          </cell>
          <cell r="E69" t="str">
            <v>Brandon</v>
          </cell>
          <cell r="F69" t="str">
            <v>Pipework</v>
          </cell>
          <cell r="G69" t="str">
            <v>extend pipepline so that 2 pumps can be used to meaining more water at once meaning less evaporation. Will use 500m of 40mm polypipe with 3 x 30 mm outlets.</v>
          </cell>
        </row>
        <row r="70">
          <cell r="A70">
            <v>64</v>
          </cell>
          <cell r="B70" t="str">
            <v>Cox</v>
          </cell>
          <cell r="C70" t="str">
            <v>GA</v>
          </cell>
          <cell r="D70">
            <v>0</v>
          </cell>
          <cell r="E70" t="str">
            <v>Ayr</v>
          </cell>
          <cell r="F70" t="str">
            <v>Recliam of last resort</v>
          </cell>
          <cell r="G70" t="str">
            <v>Construct and operate a reclaiam of last resort for the farming area downstream of Barratta Road between Barratta Creek and Pelican Road. This area is farmed by multiple landowners who contribute  to flows into the two natural drainage lines Pelican Drain</v>
          </cell>
        </row>
        <row r="71">
          <cell r="A71">
            <v>65</v>
          </cell>
          <cell r="B71" t="str">
            <v>Becke</v>
          </cell>
          <cell r="C71" t="str">
            <v>Ian</v>
          </cell>
          <cell r="D71">
            <v>0</v>
          </cell>
          <cell r="E71" t="str">
            <v>Home Hill</v>
          </cell>
          <cell r="F71" t="str">
            <v>Duplicate</v>
          </cell>
          <cell r="G71" t="str">
            <v>Duplicate</v>
          </cell>
        </row>
        <row r="72">
          <cell r="A72">
            <v>66</v>
          </cell>
          <cell r="B72" t="str">
            <v>Spotswood</v>
          </cell>
          <cell r="C72" t="str">
            <v>Gary</v>
          </cell>
          <cell r="D72" t="str">
            <v>Mt Alma Farming</v>
          </cell>
          <cell r="E72" t="str">
            <v>Home Hill</v>
          </cell>
          <cell r="F72" t="str">
            <v>Recycle Drains </v>
          </cell>
          <cell r="G72" t="str">
            <v>Current system of catchment of runoff from 97 ha of cane land into a low swamp area. Then in flood or heavy rain overflows out to sea. Propose to construct recycle drains and sediment catchment pits at lower end of irrigation land to prevent runoff to swa</v>
          </cell>
        </row>
        <row r="73">
          <cell r="A73">
            <v>67</v>
          </cell>
          <cell r="B73" t="str">
            <v>Curr</v>
          </cell>
          <cell r="C73" t="str">
            <v>Theresa &amp; Brendon</v>
          </cell>
          <cell r="D73" t="str">
            <v>Carse O'Gowrie</v>
          </cell>
          <cell r="E73" t="str">
            <v>Ravenswood</v>
          </cell>
          <cell r="F73" t="str">
            <v>Weed eradication</v>
          </cell>
          <cell r="G73" t="str">
            <v>we have 15km approx of head waters to stone creek. This is densely infested with belly-ache bush, lantana, chiney apple. At this stage the infestation is still within 150m of the banks. We propose to eradicate these weeds  by mechanical methods and herbic</v>
          </cell>
        </row>
        <row r="74">
          <cell r="A74">
            <v>68</v>
          </cell>
          <cell r="B74" t="str">
            <v>Darwen</v>
          </cell>
          <cell r="C74" t="str">
            <v>Arthur</v>
          </cell>
          <cell r="D74" t="str">
            <v>Waterview Farming Pty Ltd</v>
          </cell>
          <cell r="E74" t="str">
            <v>Ayr</v>
          </cell>
          <cell r="F74" t="str">
            <v>Recyle pit</v>
          </cell>
          <cell r="G74" t="str">
            <v>Not legible</v>
          </cell>
        </row>
        <row r="75">
          <cell r="A75">
            <v>69</v>
          </cell>
          <cell r="B75" t="str">
            <v>Cox</v>
          </cell>
          <cell r="C75" t="str">
            <v>Tristan</v>
          </cell>
          <cell r="D75" t="str">
            <v>PL Cox</v>
          </cell>
          <cell r="E75" t="str">
            <v>Ayr</v>
          </cell>
          <cell r="F75" t="str">
            <v>Recycle pit</v>
          </cell>
          <cell r="G75" t="str">
            <v>Resical Pit and Pump and pump to resical 270 acres on farm</v>
          </cell>
        </row>
        <row r="76">
          <cell r="A76">
            <v>70</v>
          </cell>
          <cell r="B76" t="str">
            <v>Sorbello</v>
          </cell>
          <cell r="C76" t="str">
            <v>VR &amp; KA</v>
          </cell>
          <cell r="D76">
            <v>0</v>
          </cell>
          <cell r="E76" t="str">
            <v>Home Hill</v>
          </cell>
          <cell r="F76" t="str">
            <v>Bedformer</v>
          </cell>
          <cell r="G76" t="str">
            <v>Break Cropping has been proven on this farm to impove yeilds leading to a reduction of nutrient imputs. Equipment to fully adopt this system is needed. Funding of a bedformer will help with this significant costs of adopting this new farming system. </v>
          </cell>
        </row>
        <row r="77">
          <cell r="A77">
            <v>71</v>
          </cell>
          <cell r="B77" t="str">
            <v>Hoywood</v>
          </cell>
          <cell r="C77">
            <v>0</v>
          </cell>
          <cell r="D77" t="str">
            <v>Hoywood PTY LTD</v>
          </cell>
          <cell r="E77" t="str">
            <v>Home Hill</v>
          </cell>
          <cell r="F77" t="str">
            <v>Pit extension</v>
          </cell>
          <cell r="G77" t="str">
            <v>Lot 51 needs an extension of its recycle system to allow full capture and reuse of tail water.</v>
          </cell>
        </row>
        <row r="78">
          <cell r="A78">
            <v>72</v>
          </cell>
          <cell r="B78" t="str">
            <v>Hirst</v>
          </cell>
          <cell r="C78" t="str">
            <v>David</v>
          </cell>
          <cell r="D78">
            <v>0</v>
          </cell>
          <cell r="E78" t="str">
            <v>Millaroo</v>
          </cell>
          <cell r="F78" t="str">
            <v>Recycle pit</v>
          </cell>
          <cell r="G78" t="str">
            <v>Recycle pit, pump and pump for 10mgl. Built in partnership with sunwater to reuse and improve water quality of irrigation tail water from approx 350ha of irrigation farmmland. Reuse of approx 180mgl of wastewater annually. Remove sediments and other conta</v>
          </cell>
        </row>
        <row r="79">
          <cell r="A79">
            <v>73</v>
          </cell>
          <cell r="B79" t="str">
            <v>O'Rourke</v>
          </cell>
          <cell r="C79" t="str">
            <v>Allan</v>
          </cell>
          <cell r="D79" t="str">
            <v>AW &amp; SJ O'Rourke</v>
          </cell>
          <cell r="E79" t="str">
            <v>Home Hill</v>
          </cell>
          <cell r="F79" t="str">
            <v>Pit extension</v>
          </cell>
          <cell r="G79" t="str">
            <v>Enlarge recycle pit to be more efficient and to spoil regrade block to slow down runoff into drains. Install a new pumping system for more effieicent water management. This system will allow 80% of a 42ha block to be recycled with only 6ha going directly </v>
          </cell>
        </row>
        <row r="80">
          <cell r="A80">
            <v>74</v>
          </cell>
          <cell r="B80" t="str">
            <v>Pitris</v>
          </cell>
          <cell r="C80" t="str">
            <v>Nick</v>
          </cell>
          <cell r="D80" t="str">
            <v>Cyprus Farming Co.</v>
          </cell>
          <cell r="E80" t="str">
            <v>Home Hill</v>
          </cell>
          <cell r="F80" t="str">
            <v>Vague</v>
          </cell>
          <cell r="G80" t="str">
            <v>Been cutting green and turning the trash back into the soil. Trying to reduce the water and fertilizer requirement and greatly reduce the need for spraying.</v>
          </cell>
        </row>
        <row r="81">
          <cell r="A81">
            <v>75</v>
          </cell>
          <cell r="B81" t="str">
            <v>Hyne</v>
          </cell>
          <cell r="C81" t="str">
            <v>Joseph</v>
          </cell>
          <cell r="D81" t="str">
            <v>WJ &amp; DC Hyne</v>
          </cell>
          <cell r="E81" t="str">
            <v>Brandon</v>
          </cell>
          <cell r="F81" t="str">
            <v>Recycle Pit</v>
          </cell>
          <cell r="G81" t="str">
            <v>The activity for which I would seek help would be to establish a Recycle Pit to trap runoff from part of the farm using natural fall of the land then return to existing system and reuse the water for cane or vegetables. We already use dual row, minimum ti</v>
          </cell>
        </row>
        <row r="82">
          <cell r="A82">
            <v>76</v>
          </cell>
          <cell r="B82" t="str">
            <v>Cannavan</v>
          </cell>
          <cell r="C82" t="str">
            <v>Murray</v>
          </cell>
          <cell r="D82" t="str">
            <v>Cannavan Farms</v>
          </cell>
          <cell r="E82" t="str">
            <v>Home Hill</v>
          </cell>
          <cell r="F82" t="str">
            <v>Shielded Sprayer</v>
          </cell>
          <cell r="G82" t="str">
            <v>It is our intention to have a zero tolerance for use of herbicides such at the use of atrazine. To achive this we would like a shielded sprayer to controll weeds post emergence in the crops. This sprayer would service an area of 200ha</v>
          </cell>
        </row>
        <row r="83">
          <cell r="A83">
            <v>77</v>
          </cell>
          <cell r="B83" t="str">
            <v>Linton</v>
          </cell>
          <cell r="C83">
            <v>0</v>
          </cell>
          <cell r="D83" t="str">
            <v>Linton and Co</v>
          </cell>
          <cell r="E83" t="str">
            <v>Home Hill</v>
          </cell>
          <cell r="F83" t="str">
            <v>Water Pump</v>
          </cell>
          <cell r="G83" t="str">
            <v>Install a pump on an existing lagoon which catches the water from about 80 acres on our farm and and about 70 acres from a neighbours farm. A small amount of earthwork would be required to connect all drains. A pipeline may be required to link existing wa</v>
          </cell>
        </row>
        <row r="84">
          <cell r="A84">
            <v>78</v>
          </cell>
          <cell r="B84" t="str">
            <v>Jones</v>
          </cell>
          <cell r="C84" t="str">
            <v>Ryan</v>
          </cell>
          <cell r="D84" t="str">
            <v>Glendurham Pastoral Co.</v>
          </cell>
          <cell r="E84" t="str">
            <v>Ayr</v>
          </cell>
          <cell r="G84" t="str">
            <v>Purchase of “Valley” towable pivot to irrigate 15 acres each re-location. 
To utilize recycled water from irrigated pastures that is being intensively grazed by cattle. 
Recycle drains and pits have already been established, an efficient method of reuse t</v>
          </cell>
        </row>
        <row r="85">
          <cell r="A85">
            <v>79</v>
          </cell>
          <cell r="B85" t="str">
            <v>Jones</v>
          </cell>
          <cell r="C85" t="str">
            <v>Allan &amp; Lynn</v>
          </cell>
          <cell r="D85">
            <v>0</v>
          </cell>
          <cell r="E85" t="str">
            <v>Ayr</v>
          </cell>
          <cell r="F85" t="str">
            <v>Recycle Pit</v>
          </cell>
          <cell r="G85" t="str">
            <v>Installation of recycle pit benefits bieng a reduction of runoff and nutrient use. </v>
          </cell>
        </row>
        <row r="86">
          <cell r="A86">
            <v>80</v>
          </cell>
          <cell r="B86" t="str">
            <v>Jones</v>
          </cell>
          <cell r="C86" t="str">
            <v>Allan &amp; Lynn</v>
          </cell>
          <cell r="D86">
            <v>0</v>
          </cell>
          <cell r="E86" t="str">
            <v>Ayr</v>
          </cell>
          <cell r="F86" t="str">
            <v>Shielded Sprayer</v>
          </cell>
          <cell r="G86" t="str">
            <v>Instalation of shielded chemical srayers. Leads to reducing atrazine &amp; Diruron. Reduced chemicals leaching into Ground water Aquifer. </v>
          </cell>
        </row>
        <row r="87">
          <cell r="A87">
            <v>81</v>
          </cell>
          <cell r="B87" t="str">
            <v>Jones</v>
          </cell>
          <cell r="C87" t="str">
            <v>Allan &amp; Lynn</v>
          </cell>
          <cell r="D87">
            <v>0</v>
          </cell>
          <cell r="E87" t="str">
            <v>Ayr</v>
          </cell>
          <cell r="F87" t="str">
            <v>EM Mapping </v>
          </cell>
          <cell r="G87" t="str">
            <v>Introduction of EM Mapping in conjunction with soil and water testing. Will lead to ability to use variable rate technology for more specific nutirent application, Possible reduction in nutrient usage, soil and water testing to give a more accurate idea o</v>
          </cell>
        </row>
        <row r="88">
          <cell r="A88">
            <v>82</v>
          </cell>
          <cell r="B88" t="str">
            <v>Sgroi</v>
          </cell>
          <cell r="C88" t="str">
            <v>Rosario &amp; Dean</v>
          </cell>
          <cell r="D88">
            <v>0</v>
          </cell>
          <cell r="E88" t="str">
            <v>Home Hill</v>
          </cell>
          <cell r="F88" t="str">
            <v>Lateral Move Irrigatior</v>
          </cell>
          <cell r="G88" t="str">
            <v>It is proposed that a lateral move irrigator be installed on this farm to improve water efficiency by decreasing runoff from tailwater and also losses from deep drainage. It is propose that the irrigator would cover the majority of the property. Some eart</v>
          </cell>
        </row>
        <row r="89">
          <cell r="A89">
            <v>83</v>
          </cell>
          <cell r="B89" t="str">
            <v>Palombi</v>
          </cell>
          <cell r="C89" t="str">
            <v>Julian</v>
          </cell>
          <cell r="D89" t="str">
            <v>Laytax Pty Ltd</v>
          </cell>
          <cell r="E89" t="str">
            <v>Ayr</v>
          </cell>
          <cell r="F89" t="str">
            <v>Pig problem</v>
          </cell>
          <cell r="G89" t="str">
            <v>Pig problem</v>
          </cell>
        </row>
        <row r="90">
          <cell r="A90">
            <v>84</v>
          </cell>
          <cell r="B90" t="str">
            <v>Barbagallo</v>
          </cell>
          <cell r="C90" t="str">
            <v>Benjamin </v>
          </cell>
          <cell r="D90" t="str">
            <v>BL &amp; DK Barbagallo</v>
          </cell>
          <cell r="E90" t="str">
            <v>Ayr</v>
          </cell>
          <cell r="F90" t="str">
            <v>Levelling</v>
          </cell>
          <cell r="G90" t="str">
            <v>I have a 20 acre block that would at present uses much more water than average because of the levelsa of the block. If the block could be levelled there could easily be firstly a water saving and much less nuitrient loss to leaching because of the soil ty</v>
          </cell>
        </row>
        <row r="91">
          <cell r="A91">
            <v>85</v>
          </cell>
          <cell r="B91" t="str">
            <v>Cody</v>
          </cell>
          <cell r="C91" t="str">
            <v>GA</v>
          </cell>
          <cell r="D91">
            <v>0</v>
          </cell>
          <cell r="E91" t="str">
            <v>Ayr</v>
          </cell>
          <cell r="F91" t="str">
            <v>Levelling</v>
          </cell>
          <cell r="G91" t="str">
            <v>Lazer levelling and levy banks to retain water on property area of approx 56 ha</v>
          </cell>
        </row>
        <row r="92">
          <cell r="A92">
            <v>86</v>
          </cell>
          <cell r="B92" t="str">
            <v>Jones</v>
          </cell>
          <cell r="C92" t="str">
            <v>Neville</v>
          </cell>
          <cell r="D92">
            <v>0</v>
          </cell>
          <cell r="E92" t="str">
            <v>Ayr</v>
          </cell>
          <cell r="F92" t="str">
            <v>Trickle </v>
          </cell>
          <cell r="G92" t="str">
            <v>Trickle irrigation system for approx 700 acres</v>
          </cell>
        </row>
        <row r="93">
          <cell r="A93">
            <v>87</v>
          </cell>
          <cell r="B93" t="str">
            <v>Di Bella</v>
          </cell>
          <cell r="C93" t="str">
            <v>Alfio</v>
          </cell>
          <cell r="D93">
            <v>0</v>
          </cell>
          <cell r="E93" t="str">
            <v>Home Hill</v>
          </cell>
          <cell r="F93" t="str">
            <v>Recycle Pit</v>
          </cell>
          <cell r="G93" t="str">
            <v>I propose to construct a small for all the irrigation water from my property.  The sive would be approx 100m x 50m x 3 m. The specific area is a natural hole that has recently been filling up with silt. So it is a matter of digging up the silty siol that </v>
          </cell>
        </row>
        <row r="94">
          <cell r="A94">
            <v>88</v>
          </cell>
          <cell r="B94" t="str">
            <v>Camer</v>
          </cell>
          <cell r="C94" t="str">
            <v>Glen</v>
          </cell>
          <cell r="D94">
            <v>0</v>
          </cell>
          <cell r="E94" t="str">
            <v>Home Hill</v>
          </cell>
          <cell r="G94" t="str">
            <v>Purchase of stool splitter fertilizer application to convert farming areas to minmum or zero till Fertilizer placement to be away from furrows total area is 134ha </v>
          </cell>
        </row>
        <row r="95">
          <cell r="A95">
            <v>89</v>
          </cell>
          <cell r="B95" t="str">
            <v>Lewis</v>
          </cell>
          <cell r="C95" t="str">
            <v>Thomas</v>
          </cell>
          <cell r="D95" t="str">
            <v>Lewis  Farming </v>
          </cell>
          <cell r="E95" t="str">
            <v>Clare</v>
          </cell>
          <cell r="F95" t="str">
            <v>Recycle Pit</v>
          </cell>
          <cell r="G95" t="str">
            <v>Lewis Farming Company of Clare, QLD, proposes to build a recycle pit on one of its farms. For this to be possible, we would need to dig a pit suitable for catching water and set up a pumping and pipe-line system. This farm is 110 hectares and uses approxi</v>
          </cell>
        </row>
        <row r="96">
          <cell r="A96">
            <v>90</v>
          </cell>
          <cell r="B96" t="str">
            <v>Schneider</v>
          </cell>
          <cell r="C96" t="str">
            <v>Leonard &amp; Denise</v>
          </cell>
          <cell r="D96" t="str">
            <v>Maidauale Stn</v>
          </cell>
          <cell r="E96" t="str">
            <v>Mingela</v>
          </cell>
          <cell r="F96" t="str">
            <v>Fencing </v>
          </cell>
          <cell r="G96" t="str">
            <v>To divide large paddock into smaller paddocks for seasonal spelling. Place to seed the paddock to inprove ground cover. </v>
          </cell>
        </row>
        <row r="97">
          <cell r="A97">
            <v>91</v>
          </cell>
          <cell r="B97" t="str">
            <v>Moody</v>
          </cell>
          <cell r="C97" t="str">
            <v>Graham</v>
          </cell>
          <cell r="D97" t="str">
            <v>Square Post Station</v>
          </cell>
          <cell r="E97" t="str">
            <v>Mingela</v>
          </cell>
          <cell r="F97" t="str">
            <v>Seeding</v>
          </cell>
          <cell r="G97" t="str">
            <v>Ripping and seeding to control woody weeds and spelling of the paddock during the wetseason. </v>
          </cell>
        </row>
        <row r="98">
          <cell r="A98">
            <v>92</v>
          </cell>
          <cell r="B98" t="str">
            <v>Pincott</v>
          </cell>
          <cell r="C98" t="str">
            <v>R</v>
          </cell>
          <cell r="D98">
            <v>0</v>
          </cell>
          <cell r="E98" t="str">
            <v>Woodstock</v>
          </cell>
          <cell r="F98" t="str">
            <v>Rats tail Grass</v>
          </cell>
          <cell r="G98" t="str">
            <v>To control the spread of giant rats tail grass down the water way by using taskforce sodium fluroporpronate as a selective herbicide to kill both established plants and seedlings. GRT excludes other grasses both native and sown making pasture unviable. Ar</v>
          </cell>
        </row>
        <row r="99">
          <cell r="A99">
            <v>93</v>
          </cell>
          <cell r="B99" t="str">
            <v>Hasset</v>
          </cell>
          <cell r="C99" t="str">
            <v>John</v>
          </cell>
          <cell r="D99" t="str">
            <v>One Mile</v>
          </cell>
          <cell r="E99" t="str">
            <v>Woodstock</v>
          </cell>
          <cell r="F99" t="str">
            <v>Fencing</v>
          </cell>
          <cell r="G99" t="str">
            <v>Fence off river frontage, Fence off improved pasture, Fence off lighter carrying country so that stock will use in wet season. Pump water into lighter country. Plant more grass seed. Look into putting in levy banks for storm runoff. </v>
          </cell>
        </row>
        <row r="100">
          <cell r="A100">
            <v>94</v>
          </cell>
          <cell r="B100" t="str">
            <v>Galea</v>
          </cell>
          <cell r="C100" t="str">
            <v>Peter, Margaret, Richard</v>
          </cell>
          <cell r="D100">
            <v>0</v>
          </cell>
          <cell r="E100" t="str">
            <v>Giru</v>
          </cell>
          <cell r="F100" t="str">
            <v>Recycle Pit</v>
          </cell>
          <cell r="G100" t="str">
            <v>Installation of a 15ML recycling pit  and 6”-7” (150mmx175mm) pump with 1.2 km HDPE 
pipeline to collect tail water from the whole Lot for reuse on farm to minimise the risk of 
pesticide and nutrient losses reaching the NR&amp;W drain, which discharges direc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6.vml" /><Relationship Id="rId3"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7.v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F61"/>
  <sheetViews>
    <sheetView zoomScalePageLayoutView="0" workbookViewId="0" topLeftCell="A1">
      <pane xSplit="5" ySplit="11" topLeftCell="G12" activePane="bottomRight" state="frozen"/>
      <selection pane="topLeft" activeCell="A1" sqref="A1"/>
      <selection pane="topRight" activeCell="D1" sqref="D1"/>
      <selection pane="bottomLeft" activeCell="A12" sqref="A12"/>
      <selection pane="bottomRight" activeCell="L12" sqref="L12"/>
    </sheetView>
  </sheetViews>
  <sheetFormatPr defaultColWidth="9.140625" defaultRowHeight="12.75"/>
  <cols>
    <col min="1" max="1" width="10.00390625" style="0" hidden="1" customWidth="1"/>
    <col min="2" max="2" width="10.00390625" style="62" customWidth="1"/>
    <col min="3" max="3" width="8.140625" style="0" customWidth="1"/>
    <col min="4" max="4" width="11.28125" style="0" customWidth="1"/>
    <col min="5" max="5" width="15.57421875" style="308" customWidth="1"/>
    <col min="6" max="10" width="13.00390625" style="0" customWidth="1"/>
    <col min="11" max="11" width="20.00390625" style="0" customWidth="1"/>
    <col min="12" max="12" width="33.140625" style="0" customWidth="1"/>
    <col min="13" max="13" width="12.7109375" style="0" customWidth="1"/>
    <col min="14" max="14" width="21.57421875" style="308" customWidth="1"/>
    <col min="15" max="16" width="12.7109375" style="0" customWidth="1"/>
    <col min="17" max="17" width="21.7109375" style="0" customWidth="1"/>
    <col min="18" max="19" width="12.7109375" style="0" customWidth="1"/>
    <col min="20" max="20" width="15.00390625" style="0" customWidth="1"/>
    <col min="21" max="21" width="17.7109375" style="308" customWidth="1"/>
    <col min="22" max="38" width="17.7109375" style="0" customWidth="1"/>
    <col min="39" max="41" width="12.28125" style="0" customWidth="1"/>
    <col min="42" max="42" width="14.421875" style="0" customWidth="1"/>
    <col min="43" max="43" width="15.421875" style="0" customWidth="1"/>
    <col min="44" max="44" width="10.8515625" style="0" customWidth="1"/>
    <col min="45" max="46" width="15.421875" style="0" customWidth="1"/>
    <col min="47" max="50" width="14.28125" style="0" customWidth="1"/>
    <col min="51" max="51" width="19.7109375" style="76" customWidth="1"/>
    <col min="52" max="52" width="19.7109375" style="0" customWidth="1"/>
    <col min="53" max="53" width="19.7109375" style="76" customWidth="1"/>
    <col min="54" max="54" width="19.7109375" style="0" customWidth="1"/>
    <col min="55" max="55" width="15.28125" style="0" customWidth="1"/>
    <col min="56" max="56" width="12.57421875" style="0" customWidth="1"/>
    <col min="57" max="57" width="12.421875" style="0" bestFit="1" customWidth="1"/>
    <col min="58" max="58" width="27.421875" style="0" customWidth="1"/>
  </cols>
  <sheetData>
    <row r="1" spans="1:56" ht="49.5" customHeight="1">
      <c r="A1" s="15" t="s">
        <v>694</v>
      </c>
      <c r="B1" s="282"/>
      <c r="C1" s="15"/>
      <c r="D1" s="16" t="s">
        <v>450</v>
      </c>
      <c r="E1" s="310" t="s">
        <v>332</v>
      </c>
      <c r="F1" s="16" t="s">
        <v>451</v>
      </c>
      <c r="G1" s="16" t="s">
        <v>452</v>
      </c>
      <c r="H1" s="16" t="s">
        <v>453</v>
      </c>
      <c r="I1" s="16" t="s">
        <v>454</v>
      </c>
      <c r="J1" s="16" t="s">
        <v>455</v>
      </c>
      <c r="K1" s="16" t="s">
        <v>456</v>
      </c>
      <c r="L1" s="16" t="s">
        <v>684</v>
      </c>
      <c r="M1" s="16"/>
      <c r="N1" s="310"/>
      <c r="O1" s="17" t="s">
        <v>697</v>
      </c>
      <c r="P1" s="17" t="s">
        <v>698</v>
      </c>
      <c r="Q1" s="17" t="s">
        <v>699</v>
      </c>
      <c r="R1" s="17" t="s">
        <v>700</v>
      </c>
      <c r="S1" s="17" t="s">
        <v>701</v>
      </c>
      <c r="T1" s="16" t="s">
        <v>517</v>
      </c>
      <c r="U1" s="458" t="s">
        <v>703</v>
      </c>
      <c r="V1" s="18" t="s">
        <v>704</v>
      </c>
      <c r="W1" s="18"/>
      <c r="X1" s="18"/>
      <c r="Y1" s="18"/>
      <c r="Z1" s="18"/>
      <c r="AA1" s="18"/>
      <c r="AB1" s="18"/>
      <c r="AC1" s="18"/>
      <c r="AD1" s="18" t="s">
        <v>520</v>
      </c>
      <c r="AE1" s="18" t="s">
        <v>521</v>
      </c>
      <c r="AF1" s="18" t="s">
        <v>522</v>
      </c>
      <c r="AG1" s="18" t="s">
        <v>25</v>
      </c>
      <c r="AH1" s="18" t="s">
        <v>25</v>
      </c>
      <c r="AI1" s="18" t="s">
        <v>25</v>
      </c>
      <c r="AJ1" s="18" t="s">
        <v>26</v>
      </c>
      <c r="AK1" s="18" t="s">
        <v>26</v>
      </c>
      <c r="AL1" s="18" t="s">
        <v>26</v>
      </c>
      <c r="AM1" s="18" t="s">
        <v>709</v>
      </c>
      <c r="AN1" s="18" t="s">
        <v>710</v>
      </c>
      <c r="AO1" s="18"/>
      <c r="AP1" s="18" t="s">
        <v>658</v>
      </c>
      <c r="AQ1" s="16" t="s">
        <v>713</v>
      </c>
      <c r="AR1" s="16" t="s">
        <v>711</v>
      </c>
      <c r="AS1" s="16" t="s">
        <v>712</v>
      </c>
      <c r="AT1" s="16" t="s">
        <v>183</v>
      </c>
      <c r="AU1" s="19" t="s">
        <v>714</v>
      </c>
      <c r="AV1" s="19" t="s">
        <v>715</v>
      </c>
      <c r="AX1" s="15" t="s">
        <v>672</v>
      </c>
      <c r="AY1" s="13" t="s">
        <v>465</v>
      </c>
      <c r="AZ1" s="13" t="s">
        <v>531</v>
      </c>
      <c r="BA1" s="13" t="s">
        <v>534</v>
      </c>
      <c r="BB1" s="13" t="s">
        <v>535</v>
      </c>
      <c r="BC1" s="19" t="s">
        <v>418</v>
      </c>
      <c r="BD1" s="15"/>
    </row>
    <row r="2" spans="1:55" ht="15.75" customHeight="1" hidden="1">
      <c r="A2" s="2"/>
      <c r="C2" s="2"/>
      <c r="D2" t="s">
        <v>679</v>
      </c>
      <c r="AY2" s="51"/>
      <c r="AZ2" s="51"/>
      <c r="BA2" s="51"/>
      <c r="BB2" s="51"/>
      <c r="BC2" s="51"/>
    </row>
    <row r="3" spans="1:55" ht="12.75" hidden="1">
      <c r="A3" s="3"/>
      <c r="C3" s="3"/>
      <c r="D3" t="s">
        <v>680</v>
      </c>
      <c r="AY3" s="51"/>
      <c r="AZ3" s="51"/>
      <c r="BA3" s="51"/>
      <c r="BB3" s="51"/>
      <c r="BC3" s="51"/>
    </row>
    <row r="4" spans="1:55" ht="12.75" hidden="1">
      <c r="A4" s="4"/>
      <c r="C4" s="4"/>
      <c r="D4" t="s">
        <v>681</v>
      </c>
      <c r="AP4" t="s">
        <v>325</v>
      </c>
      <c r="AY4" s="51"/>
      <c r="AZ4" s="51"/>
      <c r="BA4" s="51"/>
      <c r="BB4" s="51"/>
      <c r="BC4" s="51"/>
    </row>
    <row r="5" spans="1:55" ht="12.75" hidden="1">
      <c r="A5" s="5"/>
      <c r="C5" s="5"/>
      <c r="D5" t="s">
        <v>682</v>
      </c>
      <c r="AC5" s="47" t="s">
        <v>775</v>
      </c>
      <c r="AD5" s="48" t="s">
        <v>777</v>
      </c>
      <c r="AE5" s="48"/>
      <c r="AF5" s="48"/>
      <c r="AP5" s="48" t="s">
        <v>326</v>
      </c>
      <c r="AY5" s="51"/>
      <c r="AZ5" s="51"/>
      <c r="BA5" s="51"/>
      <c r="BB5" s="51"/>
      <c r="BC5" s="51"/>
    </row>
    <row r="6" spans="1:55" ht="12.75" customHeight="1" hidden="1">
      <c r="A6" s="6"/>
      <c r="C6" s="6"/>
      <c r="D6" t="s">
        <v>683</v>
      </c>
      <c r="AC6" s="48" t="s">
        <v>776</v>
      </c>
      <c r="AQ6" s="7"/>
      <c r="AS6" s="789" t="s">
        <v>685</v>
      </c>
      <c r="AT6" s="7"/>
      <c r="AY6" s="51"/>
      <c r="AZ6" s="51"/>
      <c r="BA6" s="51"/>
      <c r="BB6" s="51"/>
      <c r="BC6" s="51"/>
    </row>
    <row r="7" spans="2:56" s="8" customFormat="1" ht="34.5" customHeight="1" hidden="1">
      <c r="B7" s="283"/>
      <c r="D7" s="790" t="s">
        <v>686</v>
      </c>
      <c r="E7" s="790"/>
      <c r="F7" s="790"/>
      <c r="G7" s="790"/>
      <c r="H7" s="790"/>
      <c r="I7" s="790"/>
      <c r="J7" s="790"/>
      <c r="K7" s="790"/>
      <c r="L7" s="790"/>
      <c r="M7" s="9"/>
      <c r="N7" s="309"/>
      <c r="O7" s="10"/>
      <c r="P7" s="10"/>
      <c r="Q7" s="10"/>
      <c r="R7" s="10"/>
      <c r="S7" s="10"/>
      <c r="T7" s="12" t="s">
        <v>688</v>
      </c>
      <c r="U7" s="791" t="s">
        <v>689</v>
      </c>
      <c r="V7" s="791"/>
      <c r="W7" s="791"/>
      <c r="X7" s="791"/>
      <c r="Y7" s="791"/>
      <c r="Z7" s="791"/>
      <c r="AA7" s="791"/>
      <c r="AB7" s="791"/>
      <c r="AC7" s="791"/>
      <c r="AD7" s="791"/>
      <c r="AE7" s="791"/>
      <c r="AF7" s="791"/>
      <c r="AG7" s="791"/>
      <c r="AH7" s="791"/>
      <c r="AI7" s="791"/>
      <c r="AJ7" s="791"/>
      <c r="AK7" s="791"/>
      <c r="AL7" s="791"/>
      <c r="AM7" s="791"/>
      <c r="AN7" s="791"/>
      <c r="AO7" s="11"/>
      <c r="AP7" s="11"/>
      <c r="AQ7" s="13" t="s">
        <v>691</v>
      </c>
      <c r="AR7" s="9" t="s">
        <v>690</v>
      </c>
      <c r="AS7" s="789"/>
      <c r="AT7" s="7"/>
      <c r="AU7" s="792" t="s">
        <v>692</v>
      </c>
      <c r="AV7" s="792"/>
      <c r="AW7" s="12"/>
      <c r="AX7" s="14"/>
      <c r="AY7" s="788"/>
      <c r="AZ7" s="788"/>
      <c r="BA7" s="788"/>
      <c r="BB7" s="788"/>
      <c r="BC7" s="788"/>
      <c r="BD7"/>
    </row>
    <row r="8" spans="1:56" ht="114.75" customHeight="1" hidden="1">
      <c r="A8" s="15" t="s">
        <v>694</v>
      </c>
      <c r="B8" s="282"/>
      <c r="C8" s="15"/>
      <c r="D8" s="16" t="s">
        <v>695</v>
      </c>
      <c r="E8" s="310" t="s">
        <v>816</v>
      </c>
      <c r="F8" s="16"/>
      <c r="G8" s="16"/>
      <c r="H8" s="16"/>
      <c r="I8" s="16"/>
      <c r="J8" s="16"/>
      <c r="K8" s="16"/>
      <c r="L8" s="16" t="s">
        <v>696</v>
      </c>
      <c r="M8" s="16"/>
      <c r="N8" s="310"/>
      <c r="O8" s="17" t="s">
        <v>697</v>
      </c>
      <c r="P8" s="17" t="s">
        <v>698</v>
      </c>
      <c r="Q8" s="17" t="s">
        <v>699</v>
      </c>
      <c r="R8" s="17" t="s">
        <v>700</v>
      </c>
      <c r="S8" s="17" t="s">
        <v>701</v>
      </c>
      <c r="T8" s="16" t="s">
        <v>702</v>
      </c>
      <c r="U8" s="458" t="s">
        <v>703</v>
      </c>
      <c r="V8" s="18" t="s">
        <v>704</v>
      </c>
      <c r="W8" s="18"/>
      <c r="X8" s="18"/>
      <c r="Y8" s="18"/>
      <c r="Z8" s="18"/>
      <c r="AA8" s="18"/>
      <c r="AB8" s="18"/>
      <c r="AC8" s="18"/>
      <c r="AD8" s="18" t="s">
        <v>705</v>
      </c>
      <c r="AE8" s="18"/>
      <c r="AF8" s="18"/>
      <c r="AG8" s="18" t="s">
        <v>706</v>
      </c>
      <c r="AH8" s="18" t="s">
        <v>707</v>
      </c>
      <c r="AI8" s="18" t="s">
        <v>708</v>
      </c>
      <c r="AJ8" s="18"/>
      <c r="AK8" s="18"/>
      <c r="AL8" s="18"/>
      <c r="AM8" s="18" t="s">
        <v>709</v>
      </c>
      <c r="AN8" s="18" t="s">
        <v>710</v>
      </c>
      <c r="AO8" s="18"/>
      <c r="AP8" s="18" t="s">
        <v>327</v>
      </c>
      <c r="AQ8" s="16" t="s">
        <v>713</v>
      </c>
      <c r="AR8" s="16" t="s">
        <v>711</v>
      </c>
      <c r="AS8" s="16" t="s">
        <v>712</v>
      </c>
      <c r="AT8" s="16"/>
      <c r="AU8" s="19" t="s">
        <v>714</v>
      </c>
      <c r="AV8" s="19" t="s">
        <v>715</v>
      </c>
      <c r="AW8" s="19"/>
      <c r="AX8" s="15" t="s">
        <v>716</v>
      </c>
      <c r="AY8" s="13" t="s">
        <v>717</v>
      </c>
      <c r="AZ8" s="13"/>
      <c r="BA8" s="13"/>
      <c r="BB8" s="13"/>
      <c r="BC8" s="19" t="s">
        <v>718</v>
      </c>
      <c r="BD8" s="15"/>
    </row>
    <row r="9" spans="1:57" ht="49.5" customHeight="1">
      <c r="A9" s="20" t="s">
        <v>719</v>
      </c>
      <c r="B9" s="284" t="s">
        <v>684</v>
      </c>
      <c r="C9" s="20"/>
      <c r="D9" s="21" t="s">
        <v>720</v>
      </c>
      <c r="E9" s="451" t="s">
        <v>332</v>
      </c>
      <c r="F9" s="90" t="s">
        <v>451</v>
      </c>
      <c r="G9" s="90" t="s">
        <v>452</v>
      </c>
      <c r="H9" s="90" t="s">
        <v>453</v>
      </c>
      <c r="I9" s="90" t="s">
        <v>454</v>
      </c>
      <c r="J9" s="90" t="s">
        <v>455</v>
      </c>
      <c r="K9" s="90" t="s">
        <v>456</v>
      </c>
      <c r="L9" s="21" t="s">
        <v>457</v>
      </c>
      <c r="M9" s="21" t="s">
        <v>460</v>
      </c>
      <c r="N9" s="311" t="s">
        <v>459</v>
      </c>
      <c r="O9" s="21" t="s">
        <v>722</v>
      </c>
      <c r="P9" s="21" t="s">
        <v>723</v>
      </c>
      <c r="Q9" s="21" t="s">
        <v>724</v>
      </c>
      <c r="R9" s="21" t="s">
        <v>725</v>
      </c>
      <c r="S9" s="21" t="s">
        <v>726</v>
      </c>
      <c r="T9" s="22" t="s">
        <v>329</v>
      </c>
      <c r="U9" s="459" t="s">
        <v>728</v>
      </c>
      <c r="V9" s="22" t="s">
        <v>729</v>
      </c>
      <c r="W9" s="22" t="s">
        <v>429</v>
      </c>
      <c r="X9" s="15" t="s">
        <v>432</v>
      </c>
      <c r="Y9" s="15" t="s">
        <v>16</v>
      </c>
      <c r="Z9" s="15" t="s">
        <v>17</v>
      </c>
      <c r="AA9" s="15" t="s">
        <v>18</v>
      </c>
      <c r="AB9" s="15" t="s">
        <v>19</v>
      </c>
      <c r="AC9" s="22" t="s">
        <v>730</v>
      </c>
      <c r="AD9" s="22" t="s">
        <v>732</v>
      </c>
      <c r="AE9" s="22" t="s">
        <v>732</v>
      </c>
      <c r="AF9" s="22" t="s">
        <v>522</v>
      </c>
      <c r="AG9" s="22" t="s">
        <v>20</v>
      </c>
      <c r="AH9" s="22" t="s">
        <v>22</v>
      </c>
      <c r="AI9" s="22" t="s">
        <v>28</v>
      </c>
      <c r="AJ9" s="22" t="s">
        <v>20</v>
      </c>
      <c r="AK9" s="22" t="s">
        <v>22</v>
      </c>
      <c r="AL9" s="22" t="s">
        <v>28</v>
      </c>
      <c r="AM9" s="22" t="s">
        <v>733</v>
      </c>
      <c r="AN9" s="22" t="s">
        <v>328</v>
      </c>
      <c r="AO9" s="22" t="s">
        <v>424</v>
      </c>
      <c r="AP9" s="22" t="s">
        <v>734</v>
      </c>
      <c r="AQ9" s="16" t="s">
        <v>330</v>
      </c>
      <c r="AR9" s="21" t="s">
        <v>662</v>
      </c>
      <c r="AS9" s="15" t="s">
        <v>735</v>
      </c>
      <c r="AT9" s="15"/>
      <c r="AU9" s="19" t="s">
        <v>714</v>
      </c>
      <c r="AV9" s="19" t="s">
        <v>715</v>
      </c>
      <c r="AW9" s="19" t="s">
        <v>331</v>
      </c>
      <c r="AX9" s="21" t="s">
        <v>333</v>
      </c>
      <c r="AY9" s="19" t="s">
        <v>737</v>
      </c>
      <c r="AZ9" s="19" t="s">
        <v>532</v>
      </c>
      <c r="BA9" s="19" t="s">
        <v>463</v>
      </c>
      <c r="BB9" s="307" t="s">
        <v>1115</v>
      </c>
      <c r="BC9" s="433" t="s">
        <v>418</v>
      </c>
      <c r="BD9" s="23" t="s">
        <v>687</v>
      </c>
      <c r="BE9" s="307" t="s">
        <v>419</v>
      </c>
    </row>
    <row r="10" spans="1:57" ht="67.5" customHeight="1">
      <c r="A10" s="24"/>
      <c r="B10" s="285"/>
      <c r="C10" s="24"/>
      <c r="D10" s="16" t="s">
        <v>695</v>
      </c>
      <c r="E10" s="310" t="s">
        <v>816</v>
      </c>
      <c r="F10" s="16"/>
      <c r="G10" s="16"/>
      <c r="H10" s="16"/>
      <c r="I10" s="16"/>
      <c r="J10" s="16"/>
      <c r="K10" s="16"/>
      <c r="L10" s="16" t="s">
        <v>458</v>
      </c>
      <c r="M10" s="16"/>
      <c r="N10" s="310"/>
      <c r="O10" s="16" t="s">
        <v>738</v>
      </c>
      <c r="P10" s="16" t="s">
        <v>739</v>
      </c>
      <c r="Q10" s="29" t="s">
        <v>655</v>
      </c>
      <c r="R10" s="16" t="s">
        <v>656</v>
      </c>
      <c r="S10" s="16" t="s">
        <v>756</v>
      </c>
      <c r="T10" s="25" t="s">
        <v>518</v>
      </c>
      <c r="U10" s="460" t="s">
        <v>758</v>
      </c>
      <c r="V10" s="15" t="s">
        <v>759</v>
      </c>
      <c r="W10" s="15" t="s">
        <v>430</v>
      </c>
      <c r="X10" s="15"/>
      <c r="Y10" s="15"/>
      <c r="Z10" s="15"/>
      <c r="AA10" s="15"/>
      <c r="AB10" s="15"/>
      <c r="AC10" s="15" t="s">
        <v>760</v>
      </c>
      <c r="AD10" s="16" t="s">
        <v>761</v>
      </c>
      <c r="AE10" s="16" t="s">
        <v>761</v>
      </c>
      <c r="AF10" s="16" t="s">
        <v>657</v>
      </c>
      <c r="AG10" s="15" t="s">
        <v>21</v>
      </c>
      <c r="AH10" s="15" t="s">
        <v>23</v>
      </c>
      <c r="AI10" s="15" t="s">
        <v>24</v>
      </c>
      <c r="AJ10" s="15" t="s">
        <v>27</v>
      </c>
      <c r="AK10" s="15" t="s">
        <v>23</v>
      </c>
      <c r="AL10" s="15" t="s">
        <v>24</v>
      </c>
      <c r="AM10" s="15" t="s">
        <v>423</v>
      </c>
      <c r="AN10" s="15"/>
      <c r="AO10" s="15" t="s">
        <v>659</v>
      </c>
      <c r="AP10" s="15" t="s">
        <v>762</v>
      </c>
      <c r="AQ10" s="27" t="s">
        <v>660</v>
      </c>
      <c r="AR10" s="24" t="s">
        <v>763</v>
      </c>
      <c r="AS10" s="26" t="s">
        <v>764</v>
      </c>
      <c r="AT10" s="26" t="s">
        <v>763</v>
      </c>
      <c r="AU10" s="25" t="s">
        <v>766</v>
      </c>
      <c r="AV10" s="25" t="s">
        <v>767</v>
      </c>
      <c r="AW10" s="25" t="s">
        <v>767</v>
      </c>
      <c r="AX10" s="25" t="s">
        <v>768</v>
      </c>
      <c r="AY10" s="19" t="s">
        <v>769</v>
      </c>
      <c r="AZ10" s="19" t="s">
        <v>530</v>
      </c>
      <c r="BA10" s="19" t="s">
        <v>464</v>
      </c>
      <c r="BB10" s="19" t="s">
        <v>530</v>
      </c>
      <c r="BC10" s="434" t="s">
        <v>420</v>
      </c>
      <c r="BD10" s="25"/>
      <c r="BE10" s="19" t="s">
        <v>421</v>
      </c>
    </row>
    <row r="11" spans="2:56" ht="38.25">
      <c r="B11" s="288" t="s">
        <v>1114</v>
      </c>
      <c r="D11" s="28" t="s">
        <v>770</v>
      </c>
      <c r="E11" s="312"/>
      <c r="F11" s="28"/>
      <c r="G11" s="28"/>
      <c r="H11" s="28"/>
      <c r="I11" s="28"/>
      <c r="J11" s="28"/>
      <c r="K11" s="28"/>
      <c r="L11" s="28" t="s">
        <v>770</v>
      </c>
      <c r="M11" s="28"/>
      <c r="N11" s="312"/>
      <c r="O11" s="29"/>
      <c r="P11" s="29"/>
      <c r="R11" s="29"/>
      <c r="S11" s="29"/>
      <c r="T11" s="28"/>
      <c r="U11" s="312"/>
      <c r="V11" s="28"/>
      <c r="W11" s="28"/>
      <c r="X11" s="28"/>
      <c r="Y11" s="28"/>
      <c r="Z11" s="28"/>
      <c r="AA11" s="28"/>
      <c r="AB11" s="28"/>
      <c r="AC11" s="28"/>
      <c r="AD11" s="28"/>
      <c r="AE11" s="28"/>
      <c r="AF11" s="28"/>
      <c r="AG11" s="28" t="s">
        <v>771</v>
      </c>
      <c r="AH11" s="28" t="s">
        <v>771</v>
      </c>
      <c r="AI11" s="28" t="s">
        <v>351</v>
      </c>
      <c r="AJ11" s="28"/>
      <c r="AK11" s="28"/>
      <c r="AL11" s="28"/>
      <c r="AM11" s="28" t="s">
        <v>773</v>
      </c>
      <c r="AN11" s="28"/>
      <c r="AO11" s="28"/>
      <c r="AP11" s="28" t="s">
        <v>770</v>
      </c>
      <c r="AQ11" s="30" t="s">
        <v>684</v>
      </c>
      <c r="AR11" s="28" t="s">
        <v>770</v>
      </c>
      <c r="AS11" s="28"/>
      <c r="AT11" s="28"/>
      <c r="AU11" s="28"/>
      <c r="AV11" s="28"/>
      <c r="AW11" s="28"/>
      <c r="AX11" s="28"/>
      <c r="AY11" s="437" t="s">
        <v>582</v>
      </c>
      <c r="AZ11" s="435"/>
      <c r="BA11" s="437" t="s">
        <v>583</v>
      </c>
      <c r="BB11" s="435"/>
      <c r="BC11" s="436" t="s">
        <v>422</v>
      </c>
      <c r="BD11" s="31" t="s">
        <v>757</v>
      </c>
    </row>
    <row r="12" spans="1:57" ht="12.75" customHeight="1">
      <c r="A12" s="787" t="s">
        <v>774</v>
      </c>
      <c r="B12" s="286">
        <v>3</v>
      </c>
      <c r="C12" s="119">
        <v>1</v>
      </c>
      <c r="D12" s="120">
        <v>1</v>
      </c>
      <c r="E12" s="452" t="s">
        <v>1116</v>
      </c>
      <c r="F12" s="120" t="s">
        <v>778</v>
      </c>
      <c r="G12" s="128">
        <f>'Data entry'!E3</f>
        <v>16000</v>
      </c>
      <c r="H12" s="128">
        <f>'Data entry'!F3</f>
        <v>8000</v>
      </c>
      <c r="I12" s="128">
        <f>'Data entry'!G3</f>
        <v>8000</v>
      </c>
      <c r="J12" s="122">
        <f aca="true" t="shared" si="0" ref="J12:J52">I12/G12</f>
        <v>0.5</v>
      </c>
      <c r="K12" s="121" t="str">
        <f>'Data entry'!I3</f>
        <v>Recycle pit</v>
      </c>
      <c r="L12" s="113" t="str">
        <f>'Data entry'!J3</f>
        <v>Lot number removed</v>
      </c>
      <c r="M12" s="113" t="str">
        <f>'Data entry'!K3</f>
        <v>Ayr</v>
      </c>
      <c r="N12" s="457">
        <f>'Data entry'!T3</f>
        <v>0</v>
      </c>
      <c r="O12" s="123"/>
      <c r="P12" s="123"/>
      <c r="Q12" s="124">
        <v>2</v>
      </c>
      <c r="R12" s="113">
        <f>'Data entry'!O3</f>
        <v>5</v>
      </c>
      <c r="S12" s="113">
        <f>'Data entry'!P3</f>
        <v>0</v>
      </c>
      <c r="T12" s="448">
        <f>'current bses'!L3+'current bses'!O3</f>
        <v>9.875</v>
      </c>
      <c r="U12" s="461" t="str">
        <f>'Data entry'!I3</f>
        <v>Recycle pit</v>
      </c>
      <c r="V12" s="125">
        <f>'Data entry'!R3</f>
        <v>194</v>
      </c>
      <c r="W12" s="125">
        <f>'thorburn clases'!D3</f>
        <v>3</v>
      </c>
      <c r="X12" s="125">
        <f>'N movement slave'!G3</f>
        <v>174</v>
      </c>
      <c r="Y12" s="125">
        <f>'N movement slave'!H3</f>
        <v>1585</v>
      </c>
      <c r="Z12" s="125">
        <f>'N movement slave'!I3</f>
        <v>78</v>
      </c>
      <c r="AA12" s="125">
        <f>'N movement slave'!J3</f>
        <v>311</v>
      </c>
      <c r="AB12" s="125">
        <f>'N movement slave'!K3</f>
        <v>2</v>
      </c>
      <c r="AC12" s="107">
        <f>1-0.15*T12/40</f>
        <v>0.96296875</v>
      </c>
      <c r="AD12" s="124">
        <f>'Data entry'!X3</f>
        <v>625</v>
      </c>
      <c r="AE12" s="124">
        <f>'Data entry'!Y3</f>
        <v>637.5</v>
      </c>
      <c r="AF12" s="36">
        <v>0.2</v>
      </c>
      <c r="AG12" s="35">
        <f>(Z12+AB12)*(AD12*AF12+AE12*1-AF12)/X12</f>
        <v>350.48275862068965</v>
      </c>
      <c r="AH12" s="35">
        <f>AG12*AB12/(Z12+AB12)</f>
        <v>8.76206896551724</v>
      </c>
      <c r="AI12" s="35">
        <f>AH12*V12*AC12</f>
        <v>1636.8941282327585</v>
      </c>
      <c r="AJ12" s="35">
        <f>((AD12*AF12+AE12*(1-AF12))-X12)*0.5+Z12+AB12</f>
        <v>310.5</v>
      </c>
      <c r="AK12" s="35">
        <f>AJ12*AB12/(Z12+AB12)</f>
        <v>7.7625</v>
      </c>
      <c r="AL12" s="35">
        <f>AK12*V12*AC12</f>
        <v>1450.15871484375</v>
      </c>
      <c r="AM12" s="60">
        <f>'Data entry'!S3</f>
        <v>1.08</v>
      </c>
      <c r="AN12" s="59">
        <f>V12*0.015*10000/1000</f>
        <v>29.099999999999998</v>
      </c>
      <c r="AO12" s="59">
        <f>AM12/AN12</f>
        <v>0.03711340206185568</v>
      </c>
      <c r="AP12" s="107">
        <f>IF(AO12&gt;5,0.8,POWER(AO12,0.5)*0.357771)</f>
        <v>0.06892400703865031</v>
      </c>
      <c r="AQ12" s="40">
        <f>IF(AM12=10.89,0.3,1)</f>
        <v>1</v>
      </c>
      <c r="AR12" s="38">
        <f>AI12*AP12*AQ12</f>
        <v>112.82130241584001</v>
      </c>
      <c r="AS12" s="39">
        <v>5</v>
      </c>
      <c r="AT12" s="38">
        <f>AR12*AS12</f>
        <v>564.1065120792</v>
      </c>
      <c r="AU12" s="41">
        <v>7460</v>
      </c>
      <c r="AV12" s="41">
        <v>401</v>
      </c>
      <c r="AW12" s="41">
        <f>AU12+AV12</f>
        <v>7861</v>
      </c>
      <c r="AX12" s="42">
        <f>AR12*AS12/1000/AW12</f>
        <v>7.1760146556316E-05</v>
      </c>
      <c r="AY12" s="432">
        <f>'Verification score'!L3</f>
        <v>0.445</v>
      </c>
      <c r="AZ12" s="107">
        <f>'Data entry'!$AU$3</f>
        <v>0.1</v>
      </c>
      <c r="BA12" s="432">
        <f>'future bses'!AI3</f>
        <v>0.08000000000000002</v>
      </c>
      <c r="BB12" s="107">
        <f>'Data entry'!$AV$3</f>
        <v>0.05</v>
      </c>
      <c r="BC12" s="43">
        <f>AX12*(1+AY12*AZ12)*(1+BA12*BB12)*100</f>
        <v>0.007525328697038435</v>
      </c>
      <c r="BD12" s="44">
        <f>I12</f>
        <v>8000</v>
      </c>
      <c r="BE12">
        <f>BC12/BD12</f>
        <v>9.406660871298044E-07</v>
      </c>
    </row>
    <row r="13" spans="1:57" ht="12.75">
      <c r="A13" s="787"/>
      <c r="B13" s="286">
        <v>4</v>
      </c>
      <c r="C13" s="126">
        <f>'Data entry'!A4</f>
        <v>2</v>
      </c>
      <c r="D13" s="124">
        <f>'Data entry'!B4</f>
        <v>2</v>
      </c>
      <c r="E13" s="452" t="s">
        <v>1116</v>
      </c>
      <c r="F13" s="120" t="s">
        <v>778</v>
      </c>
      <c r="G13" s="128">
        <f>'Data entry'!E4</f>
        <v>15000</v>
      </c>
      <c r="H13" s="128">
        <f>'Data entry'!F4</f>
        <v>3500</v>
      </c>
      <c r="I13" s="128">
        <f>'Data entry'!G4</f>
        <v>11500</v>
      </c>
      <c r="J13" s="122">
        <f t="shared" si="0"/>
        <v>0.7666666666666667</v>
      </c>
      <c r="K13" s="121" t="str">
        <f>'Data entry'!I4</f>
        <v>Recycle pit</v>
      </c>
      <c r="L13" s="113" t="str">
        <f>'Data entry'!J4</f>
        <v>Lot number removed</v>
      </c>
      <c r="M13" s="113" t="str">
        <f>'Data entry'!K4</f>
        <v>Millaroo</v>
      </c>
      <c r="N13" s="457">
        <f>'Data entry'!T4</f>
        <v>0</v>
      </c>
      <c r="O13" s="123"/>
      <c r="P13" s="123"/>
      <c r="Q13" s="124">
        <v>2</v>
      </c>
      <c r="R13" s="113">
        <f>'Data entry'!O4</f>
        <v>5</v>
      </c>
      <c r="S13" s="113">
        <f>'Data entry'!P4</f>
        <v>0</v>
      </c>
      <c r="T13" s="448">
        <f>'current bses'!L4+'current bses'!O4</f>
        <v>9.75</v>
      </c>
      <c r="U13" s="461" t="str">
        <f>'Data entry'!I4</f>
        <v>Recycle pit</v>
      </c>
      <c r="V13" s="125">
        <f>'Data entry'!R4</f>
        <v>133</v>
      </c>
      <c r="W13" s="125">
        <f>'thorburn clases'!D4</f>
        <v>2</v>
      </c>
      <c r="X13" s="125">
        <f>'N movement slave'!G4</f>
        <v>136</v>
      </c>
      <c r="Y13" s="125">
        <f>'N movement slave'!H4</f>
        <v>1605</v>
      </c>
      <c r="Z13" s="125">
        <f>'N movement slave'!I4</f>
        <v>47</v>
      </c>
      <c r="AA13" s="125">
        <f>'N movement slave'!J4</f>
        <v>310</v>
      </c>
      <c r="AB13" s="125">
        <f>'N movement slave'!K4</f>
        <v>2</v>
      </c>
      <c r="AC13" s="107">
        <f aca="true" t="shared" si="1" ref="AC13:AC52">1-0.15*T13/40</f>
        <v>0.9634375</v>
      </c>
      <c r="AD13" s="124">
        <f>'Data entry'!X4</f>
        <v>128.687</v>
      </c>
      <c r="AE13" s="124">
        <f>'Data entry'!Y4</f>
        <v>177.099</v>
      </c>
      <c r="AF13" s="36">
        <v>0.2</v>
      </c>
      <c r="AG13" s="35">
        <f aca="true" t="shared" si="2" ref="AG13:AG52">(Z13+AB13)*(AD13*AF13+AE13*1-AF13)/X13</f>
        <v>73.00870294117647</v>
      </c>
      <c r="AH13" s="35">
        <f aca="true" t="shared" si="3" ref="AH13:AH52">AG13*AB13/(Z13+AB13)</f>
        <v>2.9799470588235293</v>
      </c>
      <c r="AI13" s="35">
        <f aca="true" t="shared" si="4" ref="AI13:AI52">AH13*V13*AC13</f>
        <v>381.84203501654406</v>
      </c>
      <c r="AJ13" s="35">
        <f aca="true" t="shared" si="5" ref="AJ13:AJ52">((AD13*AF13+AE13*(1-AF13))-X13)*0.5+Z13+AB13</f>
        <v>64.70830000000001</v>
      </c>
      <c r="AK13" s="35">
        <f aca="true" t="shared" si="6" ref="AK13:AK52">AJ13*AB13/(Z13+AB13)</f>
        <v>2.6411551020408166</v>
      </c>
      <c r="AL13" s="35">
        <f aca="true" t="shared" si="7" ref="AL13:AL52">AK13*V13*AC13</f>
        <v>338.43018652678575</v>
      </c>
      <c r="AM13" s="60">
        <f>'Data entry'!S4</f>
        <v>4.8</v>
      </c>
      <c r="AN13" s="59">
        <f aca="true" t="shared" si="8" ref="AN13:AN52">V13*0.015*10000/1000</f>
        <v>19.95</v>
      </c>
      <c r="AO13" s="59">
        <f aca="true" t="shared" si="9" ref="AO13:AO52">AM13/AN13</f>
        <v>0.24060150375939848</v>
      </c>
      <c r="AP13" s="107">
        <f aca="true" t="shared" si="10" ref="AP13:AP51">IF(AO13&gt;5,0.8,POWER(AO13,0.5)*0.357771)</f>
        <v>0.17549077970150057</v>
      </c>
      <c r="AQ13" s="40">
        <f>IF(AM13=10.89,0.3,1)</f>
        <v>1</v>
      </c>
      <c r="AR13" s="38">
        <f aca="true" t="shared" si="11" ref="AR13:AR52">AI13*AP13*AQ13</f>
        <v>67.009756447861</v>
      </c>
      <c r="AS13" s="39">
        <v>5</v>
      </c>
      <c r="AT13" s="38">
        <f aca="true" t="shared" si="12" ref="AT13:AT52">AR13*AS13</f>
        <v>335.04878223930496</v>
      </c>
      <c r="AU13" s="41">
        <v>7460</v>
      </c>
      <c r="AV13" s="41">
        <v>401</v>
      </c>
      <c r="AW13" s="41">
        <f aca="true" t="shared" si="13" ref="AW13:AW52">AU13+AV13</f>
        <v>7861</v>
      </c>
      <c r="AX13" s="42">
        <f aca="true" t="shared" si="14" ref="AX13:AX52">AR13*AS13/1000/AW13</f>
        <v>4.262164893007314E-05</v>
      </c>
      <c r="AY13" s="432">
        <f>'Verification score'!L4</f>
        <v>0.37625000000000003</v>
      </c>
      <c r="AZ13" s="107">
        <f>'Data entry'!$AU$3</f>
        <v>0.1</v>
      </c>
      <c r="BA13" s="432">
        <f>'future bses'!AI4</f>
        <v>0.08785714285714284</v>
      </c>
      <c r="BB13" s="107">
        <f>'Data entry'!$AV$3</f>
        <v>0.05</v>
      </c>
      <c r="BC13" s="43">
        <f aca="true" t="shared" si="15" ref="BC13:BC52">AX13*(1+AY13*AZ13)*(1+BA13*BB13)*100</f>
        <v>0.004441956384542219</v>
      </c>
      <c r="BD13" s="44">
        <f aca="true" t="shared" si="16" ref="BD13:BD52">I13</f>
        <v>11500</v>
      </c>
      <c r="BE13">
        <f aca="true" t="shared" si="17" ref="BE13:BE52">BC13/BD13</f>
        <v>3.862570769167147E-07</v>
      </c>
    </row>
    <row r="14" spans="1:57" ht="12.75">
      <c r="A14" s="787"/>
      <c r="B14" s="286">
        <v>5</v>
      </c>
      <c r="C14" s="126">
        <f>'Data entry'!A5</f>
        <v>3</v>
      </c>
      <c r="D14" s="124">
        <f>'Data entry'!B5</f>
        <v>3</v>
      </c>
      <c r="E14" s="452" t="s">
        <v>1116</v>
      </c>
      <c r="F14" s="120" t="s">
        <v>778</v>
      </c>
      <c r="G14" s="128">
        <f>'Data entry'!E5</f>
        <v>12000</v>
      </c>
      <c r="H14" s="128">
        <f>'Data entry'!F5</f>
        <v>0</v>
      </c>
      <c r="I14" s="128">
        <f>'Data entry'!G5</f>
        <v>12000</v>
      </c>
      <c r="J14" s="122">
        <f t="shared" si="0"/>
        <v>1</v>
      </c>
      <c r="K14" s="121" t="str">
        <f>'Data entry'!I5</f>
        <v>Recycle pit</v>
      </c>
      <c r="L14" s="113" t="str">
        <f>'Data entry'!J5</f>
        <v>Lot number removed</v>
      </c>
      <c r="M14" s="113" t="str">
        <f>'Data entry'!K5</f>
        <v>Millaroo</v>
      </c>
      <c r="N14" s="457">
        <f>'Data entry'!T5</f>
        <v>0</v>
      </c>
      <c r="O14" s="123"/>
      <c r="P14" s="123"/>
      <c r="Q14" s="124">
        <v>2</v>
      </c>
      <c r="R14" s="113">
        <f>'Data entry'!O5</f>
        <v>5</v>
      </c>
      <c r="S14" s="113">
        <f>'Data entry'!P5</f>
        <v>1</v>
      </c>
      <c r="T14" s="448">
        <f>'current bses'!L5+'current bses'!O5</f>
        <v>9.75</v>
      </c>
      <c r="U14" s="461" t="str">
        <f>'Data entry'!I5</f>
        <v>Recycle pit</v>
      </c>
      <c r="V14" s="125">
        <f>'Data entry'!R5</f>
        <v>93</v>
      </c>
      <c r="W14" s="125">
        <f>'thorburn clases'!D5</f>
        <v>2</v>
      </c>
      <c r="X14" s="125">
        <f>'N movement slave'!G5</f>
        <v>136</v>
      </c>
      <c r="Y14" s="125">
        <f>'N movement slave'!H5</f>
        <v>1605</v>
      </c>
      <c r="Z14" s="125">
        <f>'N movement slave'!I5</f>
        <v>47</v>
      </c>
      <c r="AA14" s="125">
        <f>'N movement slave'!J5</f>
        <v>310</v>
      </c>
      <c r="AB14" s="125">
        <f>'N movement slave'!K5</f>
        <v>2</v>
      </c>
      <c r="AC14" s="107">
        <f t="shared" si="1"/>
        <v>0.9634375</v>
      </c>
      <c r="AD14" s="124">
        <f>'Data entry'!X5</f>
        <v>128.687</v>
      </c>
      <c r="AE14" s="124">
        <f>'Data entry'!Y5</f>
        <v>177.099</v>
      </c>
      <c r="AF14" s="36">
        <v>0.2</v>
      </c>
      <c r="AG14" s="35">
        <f t="shared" si="2"/>
        <v>73.00870294117647</v>
      </c>
      <c r="AH14" s="35">
        <f t="shared" si="3"/>
        <v>2.9799470588235293</v>
      </c>
      <c r="AI14" s="35">
        <f t="shared" si="4"/>
        <v>267.0023252371323</v>
      </c>
      <c r="AJ14" s="35">
        <f t="shared" si="5"/>
        <v>64.70830000000001</v>
      </c>
      <c r="AK14" s="35">
        <f t="shared" si="6"/>
        <v>2.6411551020408166</v>
      </c>
      <c r="AL14" s="35">
        <f t="shared" si="7"/>
        <v>236.64667178188776</v>
      </c>
      <c r="AM14" s="60">
        <f>'Data entry'!S5</f>
        <v>4.2</v>
      </c>
      <c r="AN14" s="59">
        <f t="shared" si="8"/>
        <v>13.95</v>
      </c>
      <c r="AO14" s="59">
        <f t="shared" si="9"/>
        <v>0.3010752688172043</v>
      </c>
      <c r="AP14" s="107">
        <f t="shared" si="10"/>
        <v>0.19631011445159927</v>
      </c>
      <c r="AQ14" s="40">
        <f>IF(AM14=10.89,0.3,1)</f>
        <v>1</v>
      </c>
      <c r="AR14" s="38">
        <f t="shared" si="11"/>
        <v>52.41525702614457</v>
      </c>
      <c r="AS14" s="39">
        <v>5</v>
      </c>
      <c r="AT14" s="38">
        <f t="shared" si="12"/>
        <v>262.07628513072285</v>
      </c>
      <c r="AU14" s="41">
        <v>7460</v>
      </c>
      <c r="AV14" s="41">
        <v>401</v>
      </c>
      <c r="AW14" s="41">
        <f t="shared" si="13"/>
        <v>7861</v>
      </c>
      <c r="AX14" s="42">
        <f t="shared" si="14"/>
        <v>3.3338797243445216E-05</v>
      </c>
      <c r="AY14" s="432">
        <f>'Verification score'!L5</f>
        <v>0.54625</v>
      </c>
      <c r="AZ14" s="107">
        <f>'Data entry'!$AU$3</f>
        <v>0.1</v>
      </c>
      <c r="BA14" s="432">
        <f>'future bses'!AI5</f>
        <v>0.09857142857142855</v>
      </c>
      <c r="BB14" s="107">
        <f>'Data entry'!$AV$3</f>
        <v>0.05</v>
      </c>
      <c r="BC14" s="43">
        <f t="shared" si="15"/>
        <v>0.0035333217264579687</v>
      </c>
      <c r="BD14" s="44">
        <f t="shared" si="16"/>
        <v>12000</v>
      </c>
      <c r="BE14">
        <f t="shared" si="17"/>
        <v>2.944434772048307E-07</v>
      </c>
    </row>
    <row r="15" spans="1:57" ht="12.75">
      <c r="A15" s="787"/>
      <c r="B15" s="286">
        <v>6</v>
      </c>
      <c r="C15" s="126">
        <f>'Data entry'!A6</f>
        <v>4</v>
      </c>
      <c r="D15" s="124">
        <f>'Data entry'!B6</f>
        <v>4</v>
      </c>
      <c r="E15" s="452" t="s">
        <v>1116</v>
      </c>
      <c r="F15" s="120" t="s">
        <v>778</v>
      </c>
      <c r="G15" s="128">
        <f>'Data entry'!E6</f>
        <v>45000</v>
      </c>
      <c r="H15" s="128">
        <f>'Data entry'!F6</f>
        <v>15000</v>
      </c>
      <c r="I15" s="128">
        <f>'Data entry'!G6</f>
        <v>30000</v>
      </c>
      <c r="J15" s="122">
        <f t="shared" si="0"/>
        <v>0.6666666666666666</v>
      </c>
      <c r="K15" s="121" t="str">
        <f>'Data entry'!I6</f>
        <v>Recycle pit</v>
      </c>
      <c r="L15" s="113" t="str">
        <f>'Data entry'!J6</f>
        <v>Lot number removed</v>
      </c>
      <c r="M15" s="113">
        <f>'Data entry'!K6</f>
        <v>0</v>
      </c>
      <c r="N15" s="457">
        <f>'Data entry'!T6</f>
        <v>0</v>
      </c>
      <c r="O15" s="123"/>
      <c r="P15" s="123"/>
      <c r="Q15" s="124">
        <v>2</v>
      </c>
      <c r="R15" s="113">
        <f>'Data entry'!O6</f>
        <v>5</v>
      </c>
      <c r="S15" s="113">
        <f>'Data entry'!P6</f>
        <v>0</v>
      </c>
      <c r="T15" s="448">
        <f>'current bses'!L6+'current bses'!O6</f>
        <v>21.775</v>
      </c>
      <c r="U15" s="461" t="str">
        <f>'Data entry'!I6</f>
        <v>Recycle pit</v>
      </c>
      <c r="V15" s="125">
        <f>'Data entry'!R6</f>
        <v>67</v>
      </c>
      <c r="W15" s="125">
        <f>'thorburn clases'!D6</f>
        <v>3</v>
      </c>
      <c r="X15" s="125">
        <f>'N movement slave'!G6</f>
        <v>174</v>
      </c>
      <c r="Y15" s="125">
        <f>'N movement slave'!H6</f>
        <v>1585</v>
      </c>
      <c r="Z15" s="125">
        <f>'N movement slave'!I6</f>
        <v>78</v>
      </c>
      <c r="AA15" s="125">
        <f>'N movement slave'!J6</f>
        <v>311</v>
      </c>
      <c r="AB15" s="125">
        <f>'N movement slave'!K6</f>
        <v>2</v>
      </c>
      <c r="AC15" s="107">
        <f t="shared" si="1"/>
        <v>0.91834375</v>
      </c>
      <c r="AD15" s="124">
        <f>'Data entry'!X6</f>
        <v>258.75</v>
      </c>
      <c r="AE15" s="124">
        <f>'Data entry'!Y6</f>
        <v>255.645</v>
      </c>
      <c r="AF15" s="36">
        <v>0.2</v>
      </c>
      <c r="AG15" s="35">
        <f t="shared" si="2"/>
        <v>141.2390804597701</v>
      </c>
      <c r="AH15" s="35">
        <f t="shared" si="3"/>
        <v>3.5309770114942522</v>
      </c>
      <c r="AI15" s="35">
        <f t="shared" si="4"/>
        <v>217.25759488326145</v>
      </c>
      <c r="AJ15" s="35">
        <f t="shared" si="5"/>
        <v>121.13300000000001</v>
      </c>
      <c r="AK15" s="35">
        <f t="shared" si="6"/>
        <v>3.028325</v>
      </c>
      <c r="AL15" s="35">
        <f t="shared" si="7"/>
        <v>186.32990356015628</v>
      </c>
      <c r="AM15" s="60">
        <f>'Data entry'!S6</f>
        <v>225</v>
      </c>
      <c r="AN15" s="59">
        <f t="shared" si="8"/>
        <v>10.049999999999999</v>
      </c>
      <c r="AO15" s="59">
        <f t="shared" si="9"/>
        <v>22.38805970149254</v>
      </c>
      <c r="AP15" s="107">
        <f t="shared" si="10"/>
        <v>0.8</v>
      </c>
      <c r="AQ15" s="40">
        <f>IF(AM15=10.89,0.3,1)</f>
        <v>1</v>
      </c>
      <c r="AR15" s="38">
        <f t="shared" si="11"/>
        <v>173.80607590660918</v>
      </c>
      <c r="AS15" s="39">
        <v>5</v>
      </c>
      <c r="AT15" s="38">
        <f t="shared" si="12"/>
        <v>869.0303795330459</v>
      </c>
      <c r="AU15" s="41">
        <v>7460</v>
      </c>
      <c r="AV15" s="41">
        <v>401</v>
      </c>
      <c r="AW15" s="41">
        <f t="shared" si="13"/>
        <v>7861</v>
      </c>
      <c r="AX15" s="42">
        <f t="shared" si="14"/>
        <v>0.0001105495966840155</v>
      </c>
      <c r="AY15" s="432">
        <f>'Verification score'!L6</f>
        <v>0.74</v>
      </c>
      <c r="AZ15" s="107">
        <f>'Data entry'!$AU$3</f>
        <v>0.1</v>
      </c>
      <c r="BA15" s="432">
        <f>'future bses'!AI6</f>
        <v>0</v>
      </c>
      <c r="BB15" s="107">
        <f>'Data entry'!$AV$3</f>
        <v>0.05</v>
      </c>
      <c r="BC15" s="43">
        <f t="shared" si="15"/>
        <v>0.011873026683863265</v>
      </c>
      <c r="BD15" s="44">
        <f t="shared" si="16"/>
        <v>30000</v>
      </c>
      <c r="BE15">
        <f t="shared" si="17"/>
        <v>3.957675561287755E-07</v>
      </c>
    </row>
    <row r="16" spans="1:57" ht="12.75">
      <c r="A16" s="787"/>
      <c r="B16" s="286">
        <v>7</v>
      </c>
      <c r="C16" s="126">
        <f>'Data entry'!A7</f>
        <v>5</v>
      </c>
      <c r="D16" s="124">
        <f>'Data entry'!B7</f>
        <v>5</v>
      </c>
      <c r="E16" s="452" t="s">
        <v>1116</v>
      </c>
      <c r="F16" s="120" t="s">
        <v>778</v>
      </c>
      <c r="G16" s="128">
        <f>'Data entry'!E7</f>
        <v>30000</v>
      </c>
      <c r="H16" s="128">
        <f>'Data entry'!F7</f>
        <v>18000</v>
      </c>
      <c r="I16" s="128">
        <f>'Data entry'!G7</f>
        <v>12000</v>
      </c>
      <c r="J16" s="122">
        <f t="shared" si="0"/>
        <v>0.4</v>
      </c>
      <c r="K16" s="121" t="str">
        <f>'Data entry'!I7</f>
        <v>Recycle pit</v>
      </c>
      <c r="L16" s="113" t="str">
        <f>'Data entry'!J7</f>
        <v>Lot number removed</v>
      </c>
      <c r="M16" s="113">
        <f>'Data entry'!K7</f>
        <v>0</v>
      </c>
      <c r="N16" s="457">
        <f>'Data entry'!T7</f>
        <v>0</v>
      </c>
      <c r="O16" s="123"/>
      <c r="P16" s="123"/>
      <c r="Q16" s="124">
        <v>2</v>
      </c>
      <c r="R16" s="113">
        <f>'Data entry'!O7</f>
        <v>5</v>
      </c>
      <c r="S16" s="113">
        <f>'Data entry'!P7</f>
        <v>0.2</v>
      </c>
      <c r="T16" s="448">
        <f>'current bses'!L7+'current bses'!O7</f>
        <v>1.95</v>
      </c>
      <c r="U16" s="461" t="str">
        <f>'Data entry'!I7</f>
        <v>Recycle pit</v>
      </c>
      <c r="V16" s="125">
        <f>'Data entry'!R7</f>
        <v>162</v>
      </c>
      <c r="W16" s="125">
        <f>'thorburn clases'!D7</f>
        <v>3</v>
      </c>
      <c r="X16" s="125">
        <f>'N movement slave'!G7</f>
        <v>174</v>
      </c>
      <c r="Y16" s="125">
        <f>'N movement slave'!H7</f>
        <v>1585</v>
      </c>
      <c r="Z16" s="125">
        <f>'N movement slave'!I7</f>
        <v>78</v>
      </c>
      <c r="AA16" s="125">
        <f>'N movement slave'!J7</f>
        <v>311</v>
      </c>
      <c r="AB16" s="125">
        <f>'N movement slave'!K7</f>
        <v>2</v>
      </c>
      <c r="AC16" s="107">
        <f t="shared" si="1"/>
        <v>0.9926875</v>
      </c>
      <c r="AD16" s="124">
        <f>'Data entry'!X7</f>
        <v>170.43</v>
      </c>
      <c r="AE16" s="124">
        <f>'Data entry'!Y7</f>
        <v>255.645</v>
      </c>
      <c r="AF16" s="36">
        <v>0.2</v>
      </c>
      <c r="AG16" s="35">
        <f t="shared" si="2"/>
        <v>133.11770114942527</v>
      </c>
      <c r="AH16" s="35">
        <f t="shared" si="3"/>
        <v>3.327942528735632</v>
      </c>
      <c r="AI16" s="35">
        <f t="shared" si="4"/>
        <v>535.1843257370689</v>
      </c>
      <c r="AJ16" s="35">
        <f t="shared" si="5"/>
        <v>112.30100000000002</v>
      </c>
      <c r="AK16" s="35">
        <f t="shared" si="6"/>
        <v>2.8075250000000005</v>
      </c>
      <c r="AL16" s="35">
        <f t="shared" si="7"/>
        <v>451.49318569687506</v>
      </c>
      <c r="AM16" s="60">
        <f>'Data entry'!S7</f>
        <v>2.7</v>
      </c>
      <c r="AN16" s="59">
        <f t="shared" si="8"/>
        <v>24.299999999999997</v>
      </c>
      <c r="AO16" s="59">
        <f t="shared" si="9"/>
        <v>0.11111111111111113</v>
      </c>
      <c r="AP16" s="107">
        <f t="shared" si="10"/>
        <v>0.11925700000000002</v>
      </c>
      <c r="AQ16" s="40">
        <f>IF(AM16=10.89,0.3,1)</f>
        <v>1</v>
      </c>
      <c r="AR16" s="38">
        <f t="shared" si="11"/>
        <v>63.824477134425635</v>
      </c>
      <c r="AS16" s="39">
        <v>5</v>
      </c>
      <c r="AT16" s="38">
        <f t="shared" si="12"/>
        <v>319.1223856721282</v>
      </c>
      <c r="AU16" s="41">
        <v>7460</v>
      </c>
      <c r="AV16" s="41">
        <v>401</v>
      </c>
      <c r="AW16" s="41">
        <f t="shared" si="13"/>
        <v>7861</v>
      </c>
      <c r="AX16" s="42">
        <f t="shared" si="14"/>
        <v>4.059564758581964E-05</v>
      </c>
      <c r="AY16" s="432">
        <f>'Verification score'!L7</f>
        <v>0.44625000000000004</v>
      </c>
      <c r="AZ16" s="107">
        <f>'Data entry'!$AU$3</f>
        <v>0.1</v>
      </c>
      <c r="BA16" s="432">
        <f>'future bses'!AI7</f>
        <v>0.0057142857142857195</v>
      </c>
      <c r="BB16" s="107">
        <f>'Data entry'!$AV$3</f>
        <v>0.05</v>
      </c>
      <c r="BC16" s="43">
        <f t="shared" si="15"/>
        <v>0.004241934471029664</v>
      </c>
      <c r="BD16" s="44">
        <f t="shared" si="16"/>
        <v>12000</v>
      </c>
      <c r="BE16">
        <f t="shared" si="17"/>
        <v>3.53494539252472E-07</v>
      </c>
    </row>
    <row r="17" spans="1:57" ht="24.75" customHeight="1">
      <c r="A17" s="787"/>
      <c r="B17" s="286">
        <v>8</v>
      </c>
      <c r="C17" s="126">
        <f>'Data entry'!A8</f>
        <v>6</v>
      </c>
      <c r="D17" s="124">
        <f>'Data entry'!B8</f>
        <v>6</v>
      </c>
      <c r="E17" s="452" t="s">
        <v>1116</v>
      </c>
      <c r="F17" s="120" t="s">
        <v>778</v>
      </c>
      <c r="G17" s="128">
        <f>'Data entry'!E8</f>
        <v>40000</v>
      </c>
      <c r="H17" s="128">
        <f>'Data entry'!F8</f>
        <v>10000</v>
      </c>
      <c r="I17" s="128">
        <f>'Data entry'!G8</f>
        <v>30000</v>
      </c>
      <c r="J17" s="122">
        <f t="shared" si="0"/>
        <v>0.75</v>
      </c>
      <c r="K17" s="121" t="str">
        <f>'Data entry'!I8</f>
        <v>Recycle pit extension + upgrade</v>
      </c>
      <c r="L17" s="113" t="str">
        <f>'Data entry'!J8</f>
        <v>Lot number removed</v>
      </c>
      <c r="M17" s="113">
        <f>'Data entry'!K8</f>
        <v>0</v>
      </c>
      <c r="N17" s="457" t="str">
        <f>'Data entry'!T8</f>
        <v>Recycle pit extension + upgrade</v>
      </c>
      <c r="O17" s="123"/>
      <c r="P17" s="123"/>
      <c r="Q17" s="124">
        <v>2</v>
      </c>
      <c r="R17" s="113">
        <f>'Data entry'!O8</f>
        <v>5</v>
      </c>
      <c r="S17" s="113">
        <f>'Data entry'!P8</f>
        <v>0</v>
      </c>
      <c r="T17" s="448">
        <f>'current bses'!L8+'current bses'!O8</f>
        <v>19.65</v>
      </c>
      <c r="U17" s="461" t="str">
        <f>'Data entry'!I8</f>
        <v>Recycle pit extension + upgrade</v>
      </c>
      <c r="V17" s="125">
        <f>'Data entry'!R8</f>
        <v>150</v>
      </c>
      <c r="W17" s="125">
        <f>'thorburn clases'!D8</f>
        <v>2</v>
      </c>
      <c r="X17" s="125">
        <f>'N movement slave'!G8</f>
        <v>120</v>
      </c>
      <c r="Y17" s="125">
        <f>'N movement slave'!H8</f>
        <v>457</v>
      </c>
      <c r="Z17" s="125">
        <f>'N movement slave'!I8</f>
        <v>8</v>
      </c>
      <c r="AA17" s="125">
        <f>'N movement slave'!J8</f>
        <v>1237</v>
      </c>
      <c r="AB17" s="125">
        <f>'N movement slave'!K8</f>
        <v>13</v>
      </c>
      <c r="AC17" s="107">
        <f t="shared" si="1"/>
        <v>0.9263125</v>
      </c>
      <c r="AD17" s="124">
        <f>'Data entry'!X8</f>
        <v>163.6375</v>
      </c>
      <c r="AE17" s="124">
        <f>'Data entry'!Y8</f>
        <v>200.07</v>
      </c>
      <c r="AF17" s="36">
        <v>0.2</v>
      </c>
      <c r="AG17" s="35">
        <f t="shared" si="2"/>
        <v>40.704562499999994</v>
      </c>
      <c r="AH17" s="35">
        <f t="shared" si="3"/>
        <v>25.1980625</v>
      </c>
      <c r="AI17" s="35">
        <f t="shared" si="4"/>
        <v>3501.1920404296875</v>
      </c>
      <c r="AJ17" s="35">
        <f t="shared" si="5"/>
        <v>57.39175</v>
      </c>
      <c r="AK17" s="35">
        <f t="shared" si="6"/>
        <v>35.52822619047619</v>
      </c>
      <c r="AL17" s="35">
        <f t="shared" si="7"/>
        <v>4936.536003459822</v>
      </c>
      <c r="AM17" s="535">
        <v>10.89</v>
      </c>
      <c r="AN17" s="59">
        <f t="shared" si="8"/>
        <v>22.5</v>
      </c>
      <c r="AO17" s="59">
        <f t="shared" si="9"/>
        <v>0.48400000000000004</v>
      </c>
      <c r="AP17" s="107">
        <f t="shared" si="10"/>
        <v>0.24890167296634227</v>
      </c>
      <c r="AQ17" s="40">
        <f>'Data entry'!BE8</f>
        <v>0.35</v>
      </c>
      <c r="AR17" s="38">
        <f t="shared" si="11"/>
        <v>305.0083946837867</v>
      </c>
      <c r="AS17" s="39">
        <v>5</v>
      </c>
      <c r="AT17" s="38">
        <f t="shared" si="12"/>
        <v>1525.0419734189336</v>
      </c>
      <c r="AU17" s="41">
        <v>7460</v>
      </c>
      <c r="AV17" s="41">
        <v>401</v>
      </c>
      <c r="AW17" s="41">
        <f t="shared" si="13"/>
        <v>7861</v>
      </c>
      <c r="AX17" s="42">
        <f t="shared" si="14"/>
        <v>0.00019400101430084386</v>
      </c>
      <c r="AY17" s="432">
        <f>'Verification score'!M8</f>
        <v>0.4841666666666667</v>
      </c>
      <c r="AZ17" s="107">
        <f>'Data entry'!$AU$3</f>
        <v>0.1</v>
      </c>
      <c r="BA17" s="432">
        <f>'future bses'!AI8</f>
        <v>0.03357142857142857</v>
      </c>
      <c r="BB17" s="107">
        <f>'Data entry'!$AV$3</f>
        <v>0.05</v>
      </c>
      <c r="BC17" s="43">
        <f t="shared" si="15"/>
        <v>0.020373530792706207</v>
      </c>
      <c r="BD17" s="44">
        <f t="shared" si="16"/>
        <v>30000</v>
      </c>
      <c r="BE17">
        <f t="shared" si="17"/>
        <v>6.791176930902069E-07</v>
      </c>
    </row>
    <row r="18" spans="1:57" ht="41.25" customHeight="1">
      <c r="A18" s="787"/>
      <c r="B18" s="286">
        <v>9</v>
      </c>
      <c r="C18" s="126" t="str">
        <f>'Data entry'!A9</f>
        <v>8a</v>
      </c>
      <c r="D18" s="124">
        <f>'Data entry'!B9</f>
        <v>7</v>
      </c>
      <c r="E18" s="452" t="s">
        <v>1116</v>
      </c>
      <c r="F18" s="120" t="s">
        <v>778</v>
      </c>
      <c r="G18" s="128">
        <f>'Data entry'!E9</f>
        <v>50000</v>
      </c>
      <c r="H18" s="128">
        <f>'Data entry'!F9</f>
        <v>30000</v>
      </c>
      <c r="I18" s="128">
        <f>'Data entry'!G9</f>
        <v>20000</v>
      </c>
      <c r="J18" s="122">
        <f t="shared" si="0"/>
        <v>0.4</v>
      </c>
      <c r="K18" s="121" t="str">
        <f>'Data entry'!I9</f>
        <v>Recycle pit</v>
      </c>
      <c r="L18" s="113" t="str">
        <f>'Data entry'!J9</f>
        <v>Lot number removed</v>
      </c>
      <c r="M18" s="113">
        <f>'Data entry'!K9</f>
        <v>0</v>
      </c>
      <c r="N18" s="457">
        <f>'Data entry'!T9</f>
        <v>0</v>
      </c>
      <c r="O18" s="123"/>
      <c r="P18" s="123"/>
      <c r="Q18" s="124">
        <v>2</v>
      </c>
      <c r="R18" s="113">
        <f>'Data entry'!O9</f>
        <v>5</v>
      </c>
      <c r="S18" s="113">
        <f>'Data entry'!P9</f>
        <v>0.2</v>
      </c>
      <c r="T18" s="448">
        <f>'current bses'!L9+'current bses'!O9</f>
        <v>11.7</v>
      </c>
      <c r="U18" s="461" t="str">
        <f>'Data entry'!I9</f>
        <v>Recycle pit</v>
      </c>
      <c r="V18" s="125">
        <f>'Data entry'!R9</f>
        <v>230</v>
      </c>
      <c r="W18" s="125">
        <f>'thorburn clases'!D9</f>
        <v>3</v>
      </c>
      <c r="X18" s="125">
        <f>'N movement slave'!G9</f>
        <v>174</v>
      </c>
      <c r="Y18" s="125">
        <f>'N movement slave'!H9</f>
        <v>1585</v>
      </c>
      <c r="Z18" s="125">
        <f>'N movement slave'!I9</f>
        <v>78</v>
      </c>
      <c r="AA18" s="125">
        <f>'N movement slave'!J9</f>
        <v>311</v>
      </c>
      <c r="AB18" s="125">
        <f>'N movement slave'!K9</f>
        <v>2</v>
      </c>
      <c r="AC18" s="107">
        <f t="shared" si="1"/>
        <v>0.956125</v>
      </c>
      <c r="AD18" s="124">
        <f>'Data entry'!X9</f>
        <v>158.08</v>
      </c>
      <c r="AE18" s="124">
        <f>'Data entry'!Y9</f>
        <v>227</v>
      </c>
      <c r="AF18" s="36">
        <v>0.2</v>
      </c>
      <c r="AG18" s="35">
        <f t="shared" si="2"/>
        <v>118.8119540229885</v>
      </c>
      <c r="AH18" s="35">
        <f t="shared" si="3"/>
        <v>2.9702988505747125</v>
      </c>
      <c r="AI18" s="35">
        <f t="shared" si="4"/>
        <v>653.1947073563218</v>
      </c>
      <c r="AJ18" s="35">
        <f t="shared" si="5"/>
        <v>99.60800000000002</v>
      </c>
      <c r="AK18" s="35">
        <f t="shared" si="6"/>
        <v>2.4902000000000006</v>
      </c>
      <c r="AL18" s="35">
        <f t="shared" si="7"/>
        <v>547.6167692500001</v>
      </c>
      <c r="AM18" s="60">
        <f>'Data entry'!S9</f>
        <v>30</v>
      </c>
      <c r="AN18" s="59">
        <f t="shared" si="8"/>
        <v>34.5</v>
      </c>
      <c r="AO18" s="59">
        <f t="shared" si="9"/>
        <v>0.8695652173913043</v>
      </c>
      <c r="AP18" s="107">
        <f t="shared" si="10"/>
        <v>0.3336231777489453</v>
      </c>
      <c r="AQ18" s="40">
        <f>IF(AM18=10.89,0.3,1)</f>
        <v>1</v>
      </c>
      <c r="AR18" s="38">
        <f t="shared" si="11"/>
        <v>217.92089395700845</v>
      </c>
      <c r="AS18" s="39">
        <v>5</v>
      </c>
      <c r="AT18" s="38">
        <f t="shared" si="12"/>
        <v>1089.6044697850423</v>
      </c>
      <c r="AU18" s="41">
        <v>7460</v>
      </c>
      <c r="AV18" s="41">
        <v>401</v>
      </c>
      <c r="AW18" s="41">
        <f t="shared" si="13"/>
        <v>7861</v>
      </c>
      <c r="AX18" s="42">
        <f t="shared" si="14"/>
        <v>0.00013860888815482028</v>
      </c>
      <c r="AY18" s="432">
        <f>'Verification score'!M9</f>
        <v>0.6325000000000001</v>
      </c>
      <c r="AZ18" s="107">
        <f>'Data entry'!$AU$3</f>
        <v>0.1</v>
      </c>
      <c r="BA18" s="432">
        <f>'future bses'!AI9</f>
        <v>0.004464285714285714</v>
      </c>
      <c r="BB18" s="107">
        <f>'Data entry'!$AV$3</f>
        <v>0.05</v>
      </c>
      <c r="BC18" s="43">
        <f t="shared" si="15"/>
        <v>0.014740879673693646</v>
      </c>
      <c r="BD18" s="44">
        <f t="shared" si="16"/>
        <v>20000</v>
      </c>
      <c r="BE18">
        <f t="shared" si="17"/>
        <v>7.370439836846823E-07</v>
      </c>
    </row>
    <row r="19" spans="1:57" ht="12.75">
      <c r="A19" s="787"/>
      <c r="B19" s="286">
        <v>11</v>
      </c>
      <c r="C19" s="126">
        <f>'Data entry'!A11</f>
        <v>12</v>
      </c>
      <c r="D19" s="124">
        <f>'Data entry'!B11</f>
        <v>9</v>
      </c>
      <c r="E19" s="452" t="s">
        <v>1116</v>
      </c>
      <c r="F19" s="120" t="s">
        <v>778</v>
      </c>
      <c r="G19" s="129">
        <f>'Data entry'!E11</f>
        <v>15000</v>
      </c>
      <c r="H19" s="129">
        <f>'Data entry'!F11</f>
        <v>5000</v>
      </c>
      <c r="I19" s="129">
        <f>'Data entry'!G11</f>
        <v>10000</v>
      </c>
      <c r="J19" s="122">
        <f t="shared" si="0"/>
        <v>0.6666666666666666</v>
      </c>
      <c r="K19" s="127" t="str">
        <f>'Data entry'!I11</f>
        <v>Recycle pit</v>
      </c>
      <c r="L19" s="114" t="str">
        <f>'Data entry'!J11</f>
        <v>Lot number removed</v>
      </c>
      <c r="M19" s="114">
        <f>'Data entry'!K11</f>
        <v>0</v>
      </c>
      <c r="N19" s="457">
        <f>'Data entry'!T11</f>
        <v>0</v>
      </c>
      <c r="O19" s="123"/>
      <c r="P19" s="123"/>
      <c r="Q19" s="124">
        <v>2</v>
      </c>
      <c r="R19" s="114">
        <f>'Data entry'!O11</f>
        <v>5</v>
      </c>
      <c r="S19" s="114">
        <f>'Data entry'!P11</f>
        <v>0.5</v>
      </c>
      <c r="T19" s="448">
        <f>'current bses'!L11+'current bses'!O11</f>
        <v>18.049999999999997</v>
      </c>
      <c r="U19" s="461" t="str">
        <f>'Data entry'!I11</f>
        <v>Recycle pit</v>
      </c>
      <c r="V19" s="125">
        <f>'Data entry'!R11</f>
        <v>142</v>
      </c>
      <c r="W19" s="125">
        <f>'thorburn clases'!D11</f>
        <v>4</v>
      </c>
      <c r="X19" s="125">
        <f>'N movement slave'!G11</f>
        <v>202</v>
      </c>
      <c r="Y19" s="125">
        <f>'N movement slave'!H11</f>
        <v>1510</v>
      </c>
      <c r="Z19" s="125">
        <f>'N movement slave'!I11</f>
        <v>87</v>
      </c>
      <c r="AA19" s="125">
        <f>'N movement slave'!J11</f>
        <v>358</v>
      </c>
      <c r="AB19" s="125">
        <f>'N movement slave'!K11</f>
        <v>3</v>
      </c>
      <c r="AC19" s="107">
        <f t="shared" si="1"/>
        <v>0.9323125</v>
      </c>
      <c r="AD19" s="124">
        <f>'Data entry'!X11</f>
        <v>33.75</v>
      </c>
      <c r="AE19" s="124">
        <f>'Data entry'!Y11</f>
        <v>102.5</v>
      </c>
      <c r="AF19" s="36">
        <v>0.2</v>
      </c>
      <c r="AG19" s="35">
        <f t="shared" si="2"/>
        <v>48.586633663366335</v>
      </c>
      <c r="AH19" s="35">
        <f t="shared" si="3"/>
        <v>1.6195544554455443</v>
      </c>
      <c r="AI19" s="35">
        <f t="shared" si="4"/>
        <v>214.4101825804455</v>
      </c>
      <c r="AJ19" s="35">
        <f t="shared" si="5"/>
        <v>33.375</v>
      </c>
      <c r="AK19" s="35">
        <f t="shared" si="6"/>
        <v>1.1125</v>
      </c>
      <c r="AL19" s="35">
        <f t="shared" si="7"/>
        <v>147.2820671875</v>
      </c>
      <c r="AM19" s="60">
        <f>'Data entry'!S11</f>
        <v>38.5</v>
      </c>
      <c r="AN19" s="59">
        <f t="shared" si="8"/>
        <v>21.3</v>
      </c>
      <c r="AO19" s="59">
        <f t="shared" si="9"/>
        <v>1.8075117370892018</v>
      </c>
      <c r="AP19" s="107">
        <f t="shared" si="10"/>
        <v>0.4810006883628789</v>
      </c>
      <c r="AQ19" s="40">
        <f>IF(AM19=10.89,0.3,1)</f>
        <v>1</v>
      </c>
      <c r="AR19" s="38">
        <f t="shared" si="11"/>
        <v>103.13144541320483</v>
      </c>
      <c r="AS19" s="39">
        <v>5</v>
      </c>
      <c r="AT19" s="38">
        <f t="shared" si="12"/>
        <v>515.6572270660241</v>
      </c>
      <c r="AU19" s="41">
        <v>7460</v>
      </c>
      <c r="AV19" s="41">
        <v>401</v>
      </c>
      <c r="AW19" s="41">
        <f t="shared" si="13"/>
        <v>7861</v>
      </c>
      <c r="AX19" s="42">
        <f t="shared" si="14"/>
        <v>6.559689951227886E-05</v>
      </c>
      <c r="AY19" s="432">
        <f>'Verification score'!M11</f>
        <v>0.5316666666666666</v>
      </c>
      <c r="AZ19" s="107">
        <f>'Data entry'!$AU$3</f>
        <v>0.1</v>
      </c>
      <c r="BA19" s="432">
        <f>'future bses'!AI11</f>
        <v>0.38785714285714284</v>
      </c>
      <c r="BB19" s="107">
        <f>'Data entry'!$AV$3</f>
        <v>0.05</v>
      </c>
      <c r="BC19" s="43">
        <f t="shared" si="15"/>
        <v>0.007042421322178776</v>
      </c>
      <c r="BD19" s="44">
        <f t="shared" si="16"/>
        <v>10000</v>
      </c>
      <c r="BE19">
        <f t="shared" si="17"/>
        <v>7.042421322178776E-07</v>
      </c>
    </row>
    <row r="20" spans="1:57" ht="27" customHeight="1">
      <c r="A20" s="787"/>
      <c r="B20" s="286">
        <v>12</v>
      </c>
      <c r="C20" s="126">
        <f>'Data entry'!A12</f>
        <v>15</v>
      </c>
      <c r="D20" s="124">
        <f>'Data entry'!B12</f>
        <v>10</v>
      </c>
      <c r="E20" s="452" t="s">
        <v>1116</v>
      </c>
      <c r="F20" s="120" t="s">
        <v>778</v>
      </c>
      <c r="G20" s="129">
        <f>'Data entry'!E12</f>
        <v>50000</v>
      </c>
      <c r="H20" s="129">
        <f>'Data entry'!F12</f>
        <v>0</v>
      </c>
      <c r="I20" s="129">
        <f>'Data entry'!G12</f>
        <v>50000</v>
      </c>
      <c r="J20" s="122">
        <f t="shared" si="0"/>
        <v>1</v>
      </c>
      <c r="K20" s="127" t="str">
        <f>'Data entry'!I12</f>
        <v>Recycle pit extension</v>
      </c>
      <c r="L20" s="114" t="str">
        <f>'Data entry'!J12</f>
        <v>Lot number removed</v>
      </c>
      <c r="M20" s="114">
        <f>'Data entry'!K12</f>
        <v>0</v>
      </c>
      <c r="N20" s="457" t="str">
        <f>'Data entry'!T12</f>
        <v>Recycle pit extension</v>
      </c>
      <c r="O20" s="123"/>
      <c r="P20" s="123"/>
      <c r="Q20" s="124">
        <v>2</v>
      </c>
      <c r="R20" s="114">
        <f>'Data entry'!O12</f>
        <v>5</v>
      </c>
      <c r="S20" s="114">
        <f>'Data entry'!P12</f>
        <v>0.5</v>
      </c>
      <c r="T20" s="448">
        <f>'current bses'!L12+'current bses'!O12</f>
        <v>12.975</v>
      </c>
      <c r="U20" s="461" t="str">
        <f>'Data entry'!I12</f>
        <v>Recycle pit extension</v>
      </c>
      <c r="V20" s="125">
        <f>'Data entry'!R12</f>
        <v>240</v>
      </c>
      <c r="W20" s="125">
        <f>'thorburn clases'!D12</f>
        <v>2</v>
      </c>
      <c r="X20" s="125">
        <f>'N movement slave'!G12</f>
        <v>136</v>
      </c>
      <c r="Y20" s="125">
        <f>'N movement slave'!H12</f>
        <v>1605</v>
      </c>
      <c r="Z20" s="125">
        <f>'N movement slave'!I12</f>
        <v>47</v>
      </c>
      <c r="AA20" s="125">
        <f>'N movement slave'!J12</f>
        <v>310</v>
      </c>
      <c r="AB20" s="125">
        <f>'N movement slave'!K12</f>
        <v>2</v>
      </c>
      <c r="AC20" s="107">
        <f t="shared" si="1"/>
        <v>0.95134375</v>
      </c>
      <c r="AD20" s="124">
        <f>'Data entry'!X12</f>
        <v>170.43</v>
      </c>
      <c r="AE20" s="124">
        <f>'Data entry'!Y12</f>
        <v>182.78</v>
      </c>
      <c r="AF20" s="36">
        <v>0.2</v>
      </c>
      <c r="AG20" s="35">
        <f t="shared" si="2"/>
        <v>78.06348529411765</v>
      </c>
      <c r="AH20" s="35">
        <f t="shared" si="3"/>
        <v>3.1862647058823534</v>
      </c>
      <c r="AI20" s="35">
        <f t="shared" si="4"/>
        <v>727.4959233088238</v>
      </c>
      <c r="AJ20" s="35">
        <f t="shared" si="5"/>
        <v>71.15500000000002</v>
      </c>
      <c r="AK20" s="35">
        <f t="shared" si="6"/>
        <v>2.904285714285715</v>
      </c>
      <c r="AL20" s="35">
        <f t="shared" si="7"/>
        <v>663.1137750000001</v>
      </c>
      <c r="AM20" s="60">
        <f>'Data entry'!S12</f>
        <v>21</v>
      </c>
      <c r="AN20" s="59">
        <f t="shared" si="8"/>
        <v>36</v>
      </c>
      <c r="AO20" s="59">
        <f t="shared" si="9"/>
        <v>0.5833333333333334</v>
      </c>
      <c r="AP20" s="107">
        <f t="shared" si="10"/>
        <v>0.27325211482667433</v>
      </c>
      <c r="AQ20" s="40">
        <f>'Data entry'!BQ12</f>
        <v>0.13862943611198908</v>
      </c>
      <c r="AR20" s="38">
        <f t="shared" si="11"/>
        <v>27.558117819470624</v>
      </c>
      <c r="AS20" s="39">
        <v>5</v>
      </c>
      <c r="AT20" s="38">
        <f t="shared" si="12"/>
        <v>137.79058909735312</v>
      </c>
      <c r="AU20" s="41">
        <v>7460</v>
      </c>
      <c r="AV20" s="41">
        <v>401</v>
      </c>
      <c r="AW20" s="41">
        <f t="shared" si="13"/>
        <v>7861</v>
      </c>
      <c r="AX20" s="42">
        <f t="shared" si="14"/>
        <v>1.7528379226224796E-05</v>
      </c>
      <c r="AY20" s="432">
        <f>'Verification score'!M12</f>
        <v>0.185</v>
      </c>
      <c r="AZ20" s="107">
        <f>'Data entry'!$AU$3</f>
        <v>0.1</v>
      </c>
      <c r="BA20" s="432">
        <f>'future bses'!AI12</f>
        <v>0</v>
      </c>
      <c r="BB20" s="107">
        <f>'Data entry'!$AV$3</f>
        <v>0.05</v>
      </c>
      <c r="BC20" s="43">
        <f t="shared" si="15"/>
        <v>0.0017852654241909953</v>
      </c>
      <c r="BD20" s="44">
        <f t="shared" si="16"/>
        <v>50000</v>
      </c>
      <c r="BE20">
        <f t="shared" si="17"/>
        <v>3.5705308483819906E-08</v>
      </c>
    </row>
    <row r="21" spans="1:57" ht="12.75">
      <c r="A21" s="45"/>
      <c r="B21" s="286">
        <v>13</v>
      </c>
      <c r="C21" s="126">
        <f>'Data entry'!A13</f>
        <v>16</v>
      </c>
      <c r="D21" s="124">
        <f>'Data entry'!B13</f>
        <v>11</v>
      </c>
      <c r="E21" s="452" t="s">
        <v>1116</v>
      </c>
      <c r="F21" s="120" t="s">
        <v>778</v>
      </c>
      <c r="G21" s="129">
        <f>'Data entry'!E13</f>
        <v>120000</v>
      </c>
      <c r="H21" s="129">
        <f>'Data entry'!F13</f>
        <v>105000</v>
      </c>
      <c r="I21" s="129">
        <f>'Data entry'!G13</f>
        <v>15000</v>
      </c>
      <c r="J21" s="122">
        <f t="shared" si="0"/>
        <v>0.125</v>
      </c>
      <c r="K21" s="127" t="str">
        <f>'Data entry'!I13</f>
        <v>Recycle pit</v>
      </c>
      <c r="L21" s="114" t="str">
        <f>'Data entry'!J13</f>
        <v>Lot number removed</v>
      </c>
      <c r="M21" s="114">
        <f>'Data entry'!K13</f>
        <v>0</v>
      </c>
      <c r="N21" s="457">
        <f>'Data entry'!T13</f>
        <v>0</v>
      </c>
      <c r="O21" s="123"/>
      <c r="P21" s="123"/>
      <c r="Q21" s="124">
        <v>2</v>
      </c>
      <c r="R21" s="114">
        <f>'Data entry'!O13</f>
        <v>5</v>
      </c>
      <c r="S21" s="114">
        <f>'Data entry'!P13</f>
        <v>0</v>
      </c>
      <c r="T21" s="448">
        <f>'current bses'!L13+'current bses'!O13</f>
        <v>8.5</v>
      </c>
      <c r="U21" s="461" t="str">
        <f>'Data entry'!I13</f>
        <v>Recycle pit</v>
      </c>
      <c r="V21" s="125">
        <f>'Data entry'!R13</f>
        <v>100</v>
      </c>
      <c r="W21" s="125">
        <f>'thorburn clases'!D13</f>
        <v>3</v>
      </c>
      <c r="X21" s="125">
        <f>'N movement slave'!G13</f>
        <v>174</v>
      </c>
      <c r="Y21" s="125">
        <f>'N movement slave'!H13</f>
        <v>448</v>
      </c>
      <c r="Z21" s="125">
        <f>'N movement slave'!I13</f>
        <v>15</v>
      </c>
      <c r="AA21" s="125">
        <f>'N movement slave'!J13</f>
        <v>1238</v>
      </c>
      <c r="AB21" s="125">
        <f>'N movement slave'!K13</f>
        <v>17</v>
      </c>
      <c r="AC21" s="107">
        <f t="shared" si="1"/>
        <v>0.968125</v>
      </c>
      <c r="AD21" s="124">
        <f>'Data entry'!X13</f>
        <v>277.625</v>
      </c>
      <c r="AE21" s="124">
        <f>'Data entry'!Y13</f>
        <v>220.5</v>
      </c>
      <c r="AF21" s="36">
        <v>0.2</v>
      </c>
      <c r="AG21" s="35">
        <f t="shared" si="2"/>
        <v>50.726436781609195</v>
      </c>
      <c r="AH21" s="35">
        <f t="shared" si="3"/>
        <v>26.948419540229885</v>
      </c>
      <c r="AI21" s="35">
        <f t="shared" si="4"/>
        <v>2608.9438667385057</v>
      </c>
      <c r="AJ21" s="35">
        <f t="shared" si="5"/>
        <v>60.962500000000006</v>
      </c>
      <c r="AK21" s="35">
        <f t="shared" si="6"/>
        <v>32.386328125000006</v>
      </c>
      <c r="AL21" s="35">
        <f t="shared" si="7"/>
        <v>3135.401391601563</v>
      </c>
      <c r="AM21" s="60">
        <f>'Data entry'!S13</f>
        <v>30</v>
      </c>
      <c r="AN21" s="59">
        <f t="shared" si="8"/>
        <v>15</v>
      </c>
      <c r="AO21" s="59">
        <f t="shared" si="9"/>
        <v>2</v>
      </c>
      <c r="AP21" s="107">
        <f t="shared" si="10"/>
        <v>0.5059646004237847</v>
      </c>
      <c r="AQ21" s="40">
        <f>IF(AM21=10.89,0.3,1)</f>
        <v>1</v>
      </c>
      <c r="AR21" s="38">
        <f t="shared" si="11"/>
        <v>1320.0332410624317</v>
      </c>
      <c r="AS21" s="39">
        <v>5</v>
      </c>
      <c r="AT21" s="38">
        <f t="shared" si="12"/>
        <v>6600.166205312158</v>
      </c>
      <c r="AU21" s="41">
        <v>7460</v>
      </c>
      <c r="AV21" s="41">
        <v>401</v>
      </c>
      <c r="AW21" s="41">
        <f t="shared" si="13"/>
        <v>7861</v>
      </c>
      <c r="AX21" s="42">
        <f t="shared" si="14"/>
        <v>0.0008396089817214296</v>
      </c>
      <c r="AY21" s="432">
        <f>'Verification score'!M13</f>
        <v>0.49583333333333335</v>
      </c>
      <c r="AZ21" s="107">
        <f>'Data entry'!$AU$3</f>
        <v>0.1</v>
      </c>
      <c r="BA21" s="432">
        <f>'future bses'!AI13</f>
        <v>0.0125</v>
      </c>
      <c r="BB21" s="107">
        <f>'Data entry'!$AV$3</f>
        <v>0.05</v>
      </c>
      <c r="BC21" s="43">
        <f t="shared" si="15"/>
        <v>0.08817903684778662</v>
      </c>
      <c r="BD21" s="44">
        <f t="shared" si="16"/>
        <v>15000</v>
      </c>
      <c r="BE21">
        <f t="shared" si="17"/>
        <v>5.878602456519108E-06</v>
      </c>
    </row>
    <row r="22" spans="1:57" ht="12.75" customHeight="1">
      <c r="A22" s="32" t="s">
        <v>684</v>
      </c>
      <c r="B22" s="286">
        <v>14</v>
      </c>
      <c r="C22" s="126">
        <f>'Data entry'!A14</f>
        <v>17</v>
      </c>
      <c r="D22" s="124">
        <f>'Data entry'!B14</f>
        <v>12</v>
      </c>
      <c r="E22" s="452" t="s">
        <v>1116</v>
      </c>
      <c r="F22" s="120" t="s">
        <v>778</v>
      </c>
      <c r="G22" s="129">
        <f>'Data entry'!E14</f>
        <v>15000</v>
      </c>
      <c r="H22" s="129">
        <f>'Data entry'!F14</f>
        <v>8000</v>
      </c>
      <c r="I22" s="129">
        <f>'Data entry'!G14</f>
        <v>7000</v>
      </c>
      <c r="J22" s="122">
        <f t="shared" si="0"/>
        <v>0.4666666666666667</v>
      </c>
      <c r="K22" s="127" t="str">
        <f>'Data entry'!I14</f>
        <v>Recycle Pit</v>
      </c>
      <c r="L22" s="114" t="str">
        <f>'Data entry'!J14</f>
        <v>Lot number removed</v>
      </c>
      <c r="M22" s="114">
        <f>'Data entry'!K14</f>
        <v>0</v>
      </c>
      <c r="N22" s="457">
        <f>'Data entry'!T14</f>
        <v>0</v>
      </c>
      <c r="O22" s="123"/>
      <c r="P22" s="123"/>
      <c r="Q22" s="124">
        <v>2</v>
      </c>
      <c r="R22" s="114">
        <f>'Data entry'!O14</f>
        <v>5</v>
      </c>
      <c r="S22" s="114">
        <f>'Data entry'!P14</f>
        <v>1</v>
      </c>
      <c r="T22" s="448">
        <f>'current bses'!L14+'current bses'!O14</f>
        <v>7.45</v>
      </c>
      <c r="U22" s="461" t="str">
        <f>'Data entry'!I14</f>
        <v>Recycle Pit</v>
      </c>
      <c r="V22" s="125">
        <f>'Data entry'!R14</f>
        <v>55</v>
      </c>
      <c r="W22" s="125">
        <f>'thorburn clases'!D14</f>
        <v>2</v>
      </c>
      <c r="X22" s="125">
        <f>'N movement slave'!G14</f>
        <v>120</v>
      </c>
      <c r="Y22" s="125">
        <f>'N movement slave'!H14</f>
        <v>457</v>
      </c>
      <c r="Z22" s="125">
        <f>'N movement slave'!I14</f>
        <v>8</v>
      </c>
      <c r="AA22" s="125">
        <f>'N movement slave'!J14</f>
        <v>1237</v>
      </c>
      <c r="AB22" s="125">
        <f>'N movement slave'!K14</f>
        <v>13</v>
      </c>
      <c r="AC22" s="107">
        <f t="shared" si="1"/>
        <v>0.9720625</v>
      </c>
      <c r="AD22" s="124">
        <f>'Data entry'!X14</f>
        <v>170.545</v>
      </c>
      <c r="AE22" s="124">
        <f>'Data entry'!Y14</f>
        <v>255.645</v>
      </c>
      <c r="AF22" s="36">
        <v>0.2</v>
      </c>
      <c r="AG22" s="35">
        <f t="shared" si="2"/>
        <v>50.67195000000001</v>
      </c>
      <c r="AH22" s="35">
        <f t="shared" si="3"/>
        <v>31.368350000000007</v>
      </c>
      <c r="AI22" s="35">
        <f t="shared" si="4"/>
        <v>1677.0598197031254</v>
      </c>
      <c r="AJ22" s="35">
        <f t="shared" si="5"/>
        <v>80.31250000000001</v>
      </c>
      <c r="AK22" s="35">
        <f t="shared" si="6"/>
        <v>49.71726190476191</v>
      </c>
      <c r="AL22" s="35">
        <f t="shared" si="7"/>
        <v>2658.0557245163695</v>
      </c>
      <c r="AM22" s="60">
        <f>'Data entry'!S14</f>
        <v>60</v>
      </c>
      <c r="AN22" s="59">
        <f t="shared" si="8"/>
        <v>8.25</v>
      </c>
      <c r="AO22" s="59">
        <f t="shared" si="9"/>
        <v>7.2727272727272725</v>
      </c>
      <c r="AP22" s="107">
        <f t="shared" si="10"/>
        <v>0.8</v>
      </c>
      <c r="AQ22" s="40">
        <f>IF(AM22=10.89,0.3,1)</f>
        <v>1</v>
      </c>
      <c r="AR22" s="38">
        <f t="shared" si="11"/>
        <v>1341.6478557625005</v>
      </c>
      <c r="AS22" s="39">
        <v>5</v>
      </c>
      <c r="AT22" s="38">
        <f t="shared" si="12"/>
        <v>6708.239278812503</v>
      </c>
      <c r="AU22" s="41">
        <v>7460</v>
      </c>
      <c r="AV22" s="41">
        <v>401</v>
      </c>
      <c r="AW22" s="41">
        <f t="shared" si="13"/>
        <v>7861</v>
      </c>
      <c r="AX22" s="42">
        <f t="shared" si="14"/>
        <v>0.0008533569875095411</v>
      </c>
      <c r="AY22" s="432">
        <f>'Verification score'!M14</f>
        <v>0.35041666666666665</v>
      </c>
      <c r="AZ22" s="107">
        <f>'Data entry'!$AU$3</f>
        <v>0.1</v>
      </c>
      <c r="BA22" s="432">
        <f>'future bses'!AI14</f>
        <v>0.016428571428571435</v>
      </c>
      <c r="BB22" s="107">
        <f>'Data entry'!$AV$3</f>
        <v>0.05</v>
      </c>
      <c r="BC22" s="43">
        <f t="shared" si="15"/>
        <v>0.08839855736452396</v>
      </c>
      <c r="BD22" s="44">
        <f t="shared" si="16"/>
        <v>7000</v>
      </c>
      <c r="BE22">
        <f t="shared" si="17"/>
        <v>1.2628365337789137E-05</v>
      </c>
    </row>
    <row r="23" spans="1:57" ht="12.75">
      <c r="A23" s="45"/>
      <c r="B23" s="286">
        <v>15</v>
      </c>
      <c r="C23" s="126">
        <f>'Data entry'!A15</f>
        <v>21</v>
      </c>
      <c r="D23" s="124">
        <f>'Data entry'!B15</f>
        <v>13</v>
      </c>
      <c r="E23" s="452" t="s">
        <v>1116</v>
      </c>
      <c r="F23" s="120" t="s">
        <v>778</v>
      </c>
      <c r="G23" s="129">
        <f>'Data entry'!E15</f>
        <v>21000</v>
      </c>
      <c r="H23" s="129">
        <f>'Data entry'!F15</f>
        <v>11000</v>
      </c>
      <c r="I23" s="129">
        <f>'Data entry'!G15</f>
        <v>10000</v>
      </c>
      <c r="J23" s="122">
        <f t="shared" si="0"/>
        <v>0.47619047619047616</v>
      </c>
      <c r="K23" s="127" t="str">
        <f>'Data entry'!I15</f>
        <v>Recycle pit</v>
      </c>
      <c r="L23" s="114" t="str">
        <f>'Data entry'!J15</f>
        <v>Lot number removed</v>
      </c>
      <c r="M23" s="114">
        <f>'Data entry'!K15</f>
        <v>0</v>
      </c>
      <c r="N23" s="457">
        <f>'Data entry'!T15</f>
        <v>0</v>
      </c>
      <c r="O23" s="123"/>
      <c r="P23" s="123"/>
      <c r="Q23" s="124">
        <v>2</v>
      </c>
      <c r="R23" s="114">
        <f>'Data entry'!O15</f>
        <v>5</v>
      </c>
      <c r="S23" s="114">
        <f>'Data entry'!P15</f>
        <v>0</v>
      </c>
      <c r="T23" s="448">
        <f>'current bses'!L15+'current bses'!O15</f>
        <v>0.9</v>
      </c>
      <c r="U23" s="461" t="str">
        <f>'Data entry'!I15</f>
        <v>Recycle pit</v>
      </c>
      <c r="V23" s="125">
        <f>'Data entry'!R15</f>
        <v>113</v>
      </c>
      <c r="W23" s="125">
        <f>'thorburn clases'!D15</f>
        <v>2</v>
      </c>
      <c r="X23" s="125">
        <f>'N movement slave'!G15</f>
        <v>136</v>
      </c>
      <c r="Y23" s="125">
        <f>'N movement slave'!H15</f>
        <v>1605</v>
      </c>
      <c r="Z23" s="125">
        <f>'N movement slave'!I15</f>
        <v>47</v>
      </c>
      <c r="AA23" s="125">
        <f>'N movement slave'!J15</f>
        <v>310</v>
      </c>
      <c r="AB23" s="125">
        <f>'N movement slave'!K15</f>
        <v>2</v>
      </c>
      <c r="AC23" s="107">
        <f t="shared" si="1"/>
        <v>0.996625</v>
      </c>
      <c r="AD23" s="124">
        <f>'Data entry'!X15</f>
        <v>113.62</v>
      </c>
      <c r="AE23" s="124">
        <f>'Data entry'!Y15</f>
        <v>176.256</v>
      </c>
      <c r="AF23" s="36">
        <v>0.2</v>
      </c>
      <c r="AG23" s="35">
        <f t="shared" si="2"/>
        <v>71.61926470588236</v>
      </c>
      <c r="AH23" s="35">
        <f t="shared" si="3"/>
        <v>2.923235294117647</v>
      </c>
      <c r="AI23" s="35">
        <f t="shared" si="4"/>
        <v>329.210739375</v>
      </c>
      <c r="AJ23" s="35">
        <f t="shared" si="5"/>
        <v>62.86440000000002</v>
      </c>
      <c r="AK23" s="35">
        <f t="shared" si="6"/>
        <v>2.565893877551021</v>
      </c>
      <c r="AL23" s="35">
        <f t="shared" si="7"/>
        <v>288.9674403857144</v>
      </c>
      <c r="AM23" s="60">
        <f>'Data entry'!S15</f>
        <v>2.1</v>
      </c>
      <c r="AN23" s="59">
        <f t="shared" si="8"/>
        <v>16.95</v>
      </c>
      <c r="AO23" s="59">
        <f t="shared" si="9"/>
        <v>0.12389380530973453</v>
      </c>
      <c r="AP23" s="107">
        <f t="shared" si="10"/>
        <v>0.1259302109778986</v>
      </c>
      <c r="AQ23" s="40">
        <f>IF(AM23=10.89,0.3,1)</f>
        <v>1</v>
      </c>
      <c r="AR23" s="38">
        <f t="shared" si="11"/>
        <v>41.457577865683746</v>
      </c>
      <c r="AS23" s="39">
        <v>5</v>
      </c>
      <c r="AT23" s="38">
        <f t="shared" si="12"/>
        <v>207.28788932841871</v>
      </c>
      <c r="AU23" s="41">
        <v>7460</v>
      </c>
      <c r="AV23" s="41">
        <v>401</v>
      </c>
      <c r="AW23" s="41">
        <f t="shared" si="13"/>
        <v>7861</v>
      </c>
      <c r="AX23" s="42">
        <f t="shared" si="14"/>
        <v>2.6369150149906974E-05</v>
      </c>
      <c r="AY23" s="432">
        <f>'Verification score'!M15</f>
        <v>0.43291666666666667</v>
      </c>
      <c r="AZ23" s="107">
        <f>'Data entry'!$AU$3</f>
        <v>0.1</v>
      </c>
      <c r="BA23" s="432">
        <f>'future bses'!AI15</f>
        <v>0.009285714285714291</v>
      </c>
      <c r="BB23" s="107">
        <f>'Data entry'!$AV$3</f>
        <v>0.05</v>
      </c>
      <c r="BC23" s="43">
        <f t="shared" si="15"/>
        <v>0.002752348744026254</v>
      </c>
      <c r="BD23" s="44">
        <f t="shared" si="16"/>
        <v>10000</v>
      </c>
      <c r="BE23">
        <f t="shared" si="17"/>
        <v>2.752348744026254E-07</v>
      </c>
    </row>
    <row r="24" spans="1:57" ht="12.75">
      <c r="A24" s="45"/>
      <c r="B24" s="286">
        <v>21</v>
      </c>
      <c r="C24" s="126">
        <f>'Data entry'!A21</f>
        <v>31</v>
      </c>
      <c r="D24" s="124">
        <f>'Data entry'!B21</f>
        <v>19</v>
      </c>
      <c r="E24" s="452" t="s">
        <v>1116</v>
      </c>
      <c r="F24" s="120" t="s">
        <v>778</v>
      </c>
      <c r="G24" s="129">
        <f>'Data entry'!E21</f>
        <v>35000</v>
      </c>
      <c r="H24" s="129">
        <f>'Data entry'!F21</f>
        <v>5000</v>
      </c>
      <c r="I24" s="129">
        <f>'Data entry'!G21</f>
        <v>30000</v>
      </c>
      <c r="J24" s="122">
        <f t="shared" si="0"/>
        <v>0.8571428571428571</v>
      </c>
      <c r="K24" s="127" t="str">
        <f>'Data entry'!I21</f>
        <v>Recycle pit</v>
      </c>
      <c r="L24" s="114" t="str">
        <f>'Data entry'!J21</f>
        <v>Lot number removed</v>
      </c>
      <c r="M24" s="114">
        <f>'Data entry'!K21</f>
        <v>0</v>
      </c>
      <c r="N24" s="457">
        <f>'Data entry'!T21</f>
        <v>0</v>
      </c>
      <c r="O24" s="123"/>
      <c r="P24" s="123"/>
      <c r="Q24" s="124">
        <v>2</v>
      </c>
      <c r="R24" s="114">
        <f>'Data entry'!O21</f>
        <v>5</v>
      </c>
      <c r="S24" s="114">
        <f>'Data entry'!P21</f>
        <v>0</v>
      </c>
      <c r="T24" s="448">
        <f>'current bses'!L21+'current bses'!O21</f>
        <v>1.95</v>
      </c>
      <c r="U24" s="461" t="str">
        <f>'Data entry'!I21</f>
        <v>Recycle pit</v>
      </c>
      <c r="V24" s="125">
        <f>'Data entry'!R21</f>
        <v>40</v>
      </c>
      <c r="W24" s="125">
        <f>'thorburn clases'!D21</f>
        <v>2</v>
      </c>
      <c r="X24" s="125">
        <f>'N movement slave'!G21</f>
        <v>136</v>
      </c>
      <c r="Y24" s="125">
        <f>'N movement slave'!H21</f>
        <v>1605</v>
      </c>
      <c r="Z24" s="125">
        <f>'N movement slave'!I21</f>
        <v>47</v>
      </c>
      <c r="AA24" s="125">
        <f>'N movement slave'!J21</f>
        <v>310</v>
      </c>
      <c r="AB24" s="125">
        <f>'N movement slave'!K21</f>
        <v>2</v>
      </c>
      <c r="AC24" s="107">
        <f t="shared" si="1"/>
        <v>0.9926875</v>
      </c>
      <c r="AD24" s="124">
        <f>'Data entry'!X21</f>
        <v>103.92525</v>
      </c>
      <c r="AE24" s="124">
        <f>'Data entry'!Y21</f>
        <v>230.945</v>
      </c>
      <c r="AF24" s="36">
        <v>0.2</v>
      </c>
      <c r="AG24" s="35">
        <f t="shared" si="2"/>
        <v>90.6247974264706</v>
      </c>
      <c r="AH24" s="35">
        <f t="shared" si="3"/>
        <v>3.698971323529412</v>
      </c>
      <c r="AI24" s="35">
        <f t="shared" si="4"/>
        <v>146.87690382904412</v>
      </c>
      <c r="AJ24" s="35">
        <f t="shared" si="5"/>
        <v>83.770525</v>
      </c>
      <c r="AK24" s="35">
        <f t="shared" si="6"/>
        <v>3.4192051020408165</v>
      </c>
      <c r="AL24" s="35">
        <f t="shared" si="7"/>
        <v>135.7680865892857</v>
      </c>
      <c r="AM24" s="535">
        <v>10.89</v>
      </c>
      <c r="AN24" s="59">
        <f t="shared" si="8"/>
        <v>6</v>
      </c>
      <c r="AO24" s="59">
        <f t="shared" si="9"/>
        <v>1.8150000000000002</v>
      </c>
      <c r="AP24" s="107">
        <f t="shared" si="10"/>
        <v>0.48199601712090423</v>
      </c>
      <c r="AQ24" s="40">
        <v>1</v>
      </c>
      <c r="AR24" s="38">
        <f t="shared" si="11"/>
        <v>70.79408265264935</v>
      </c>
      <c r="AS24" s="39">
        <v>5</v>
      </c>
      <c r="AT24" s="38">
        <f t="shared" si="12"/>
        <v>353.97041326324677</v>
      </c>
      <c r="AU24" s="41">
        <v>7460</v>
      </c>
      <c r="AV24" s="41">
        <v>401</v>
      </c>
      <c r="AW24" s="41">
        <f t="shared" si="13"/>
        <v>7861</v>
      </c>
      <c r="AX24" s="42">
        <f t="shared" si="14"/>
        <v>4.502867488401561E-05</v>
      </c>
      <c r="AY24" s="432">
        <f>'Verification score'!M21</f>
        <v>0.31</v>
      </c>
      <c r="AZ24" s="107">
        <f>'Data entry'!$AU$3</f>
        <v>0.1</v>
      </c>
      <c r="BA24" s="432">
        <f>'future bses'!AI21</f>
        <v>0.004642857142857133</v>
      </c>
      <c r="BB24" s="107">
        <f>'Data entry'!$AV$3</f>
        <v>0.05</v>
      </c>
      <c r="BC24" s="43">
        <f t="shared" si="15"/>
        <v>0.004643534093630349</v>
      </c>
      <c r="BD24" s="44">
        <f t="shared" si="16"/>
        <v>30000</v>
      </c>
      <c r="BE24">
        <f t="shared" si="17"/>
        <v>1.5478446978767828E-07</v>
      </c>
    </row>
    <row r="25" spans="1:58" ht="12.75">
      <c r="A25" s="45"/>
      <c r="B25" s="286">
        <v>22</v>
      </c>
      <c r="C25" s="126" t="str">
        <f>'Data entry'!A22</f>
        <v>33a</v>
      </c>
      <c r="D25" s="124">
        <f>'Data entry'!B22</f>
        <v>20</v>
      </c>
      <c r="E25" s="452" t="s">
        <v>1116</v>
      </c>
      <c r="F25" s="120" t="s">
        <v>778</v>
      </c>
      <c r="G25" s="129">
        <f>'Data entry'!E22</f>
        <v>22000</v>
      </c>
      <c r="H25" s="129">
        <f>'Data entry'!F22</f>
        <v>11000</v>
      </c>
      <c r="I25" s="129">
        <f>'Data entry'!G22</f>
        <v>11000</v>
      </c>
      <c r="J25" s="122">
        <f t="shared" si="0"/>
        <v>0.5</v>
      </c>
      <c r="K25" s="127" t="str">
        <f>'Data entry'!I22</f>
        <v>recycle pit upgrade</v>
      </c>
      <c r="L25" s="114" t="str">
        <f>'Data entry'!J22</f>
        <v>Lot number removed</v>
      </c>
      <c r="M25" s="114">
        <f>'Data entry'!K22</f>
        <v>0</v>
      </c>
      <c r="N25" s="457" t="str">
        <f>'Data entry'!T22</f>
        <v>Changing effectiveness on recycle pit</v>
      </c>
      <c r="O25" s="123"/>
      <c r="P25" s="123"/>
      <c r="Q25" s="124">
        <v>2</v>
      </c>
      <c r="R25" s="114">
        <f>'Data entry'!O22</f>
        <v>5</v>
      </c>
      <c r="S25" s="114">
        <f>'Data entry'!P22</f>
        <v>0</v>
      </c>
      <c r="T25" s="126">
        <f>'current bses'!L22+'current bses'!O22</f>
        <v>22.2</v>
      </c>
      <c r="U25" s="461" t="str">
        <f>'Data entry'!I22</f>
        <v>recycle pit upgrade</v>
      </c>
      <c r="V25" s="125">
        <f>'Data entry'!R22</f>
        <v>511</v>
      </c>
      <c r="W25" s="125">
        <f>'thorburn clases'!D22</f>
        <v>4</v>
      </c>
      <c r="X25" s="125">
        <f>'N movement slave'!G22</f>
        <v>202</v>
      </c>
      <c r="Y25" s="125">
        <f>'N movement slave'!H22</f>
        <v>1510</v>
      </c>
      <c r="Z25" s="125">
        <f>'N movement slave'!I22</f>
        <v>87</v>
      </c>
      <c r="AA25" s="125">
        <f>'N movement slave'!J22</f>
        <v>358</v>
      </c>
      <c r="AB25" s="125">
        <f>'N movement slave'!K22</f>
        <v>3</v>
      </c>
      <c r="AC25" s="107">
        <f t="shared" si="1"/>
        <v>0.91675</v>
      </c>
      <c r="AD25" s="124">
        <f>'Data entry'!X22</f>
        <v>194</v>
      </c>
      <c r="AE25" s="124">
        <f>'Data entry'!Y22</f>
        <v>285</v>
      </c>
      <c r="AF25" s="36">
        <v>0.2</v>
      </c>
      <c r="AG25" s="35">
        <f t="shared" si="2"/>
        <v>144.1782178217822</v>
      </c>
      <c r="AH25" s="35">
        <f t="shared" si="3"/>
        <v>4.805940594059407</v>
      </c>
      <c r="AI25" s="35">
        <f t="shared" si="4"/>
        <v>2251.387326237624</v>
      </c>
      <c r="AJ25" s="35">
        <f t="shared" si="5"/>
        <v>122.4</v>
      </c>
      <c r="AK25" s="35">
        <f t="shared" si="6"/>
        <v>4.08</v>
      </c>
      <c r="AL25" s="35">
        <f t="shared" si="7"/>
        <v>1911.31374</v>
      </c>
      <c r="AM25" s="60">
        <f>'Data entry'!S22</f>
        <v>11</v>
      </c>
      <c r="AN25" s="59">
        <f t="shared" si="8"/>
        <v>76.65</v>
      </c>
      <c r="AO25" s="59">
        <f t="shared" si="9"/>
        <v>0.14350945857795172</v>
      </c>
      <c r="AP25" s="107">
        <f t="shared" si="10"/>
        <v>0.13553310809576324</v>
      </c>
      <c r="AQ25" s="586">
        <f>'Data entry'!BE22</f>
        <v>0.5</v>
      </c>
      <c r="AR25" s="38">
        <f t="shared" si="11"/>
        <v>152.56876092619765</v>
      </c>
      <c r="AS25" s="39">
        <v>5</v>
      </c>
      <c r="AT25" s="38">
        <f t="shared" si="12"/>
        <v>762.8438046309883</v>
      </c>
      <c r="AU25" s="41">
        <v>7460</v>
      </c>
      <c r="AV25" s="41">
        <v>401</v>
      </c>
      <c r="AW25" s="41">
        <f t="shared" si="13"/>
        <v>7861</v>
      </c>
      <c r="AX25" s="42">
        <f>AR25*AS25/AW25/1000</f>
        <v>9.704157290815269E-05</v>
      </c>
      <c r="AY25" s="432">
        <f>'Verification score'!M22</f>
        <v>0.5816666666666667</v>
      </c>
      <c r="AZ25" s="107">
        <f>'Data entry'!$AU$3</f>
        <v>0.1</v>
      </c>
      <c r="BA25" s="432">
        <f>'future bses'!AI22</f>
        <v>0.01500000000000001</v>
      </c>
      <c r="BB25" s="107">
        <f>'Data entry'!$AV$3</f>
        <v>0.05</v>
      </c>
      <c r="BC25" s="43">
        <f t="shared" si="15"/>
        <v>0.010276317235060948</v>
      </c>
      <c r="BD25" s="587">
        <f t="shared" si="16"/>
        <v>11000</v>
      </c>
      <c r="BE25" s="199">
        <f t="shared" si="17"/>
        <v>9.342106577328135E-07</v>
      </c>
      <c r="BF25" t="s">
        <v>1078</v>
      </c>
    </row>
    <row r="26" spans="1:58" ht="12.75">
      <c r="A26" s="45"/>
      <c r="B26" s="286">
        <v>23</v>
      </c>
      <c r="C26" s="126" t="str">
        <f>'Data entry'!A23</f>
        <v>33b</v>
      </c>
      <c r="D26" s="124">
        <f>'Data entry'!B23</f>
        <v>21</v>
      </c>
      <c r="E26" s="452" t="s">
        <v>1116</v>
      </c>
      <c r="F26" s="120" t="s">
        <v>778</v>
      </c>
      <c r="G26" s="129">
        <f>'Data entry'!E23</f>
        <v>40000</v>
      </c>
      <c r="H26" s="129">
        <f>'Data entry'!F23</f>
        <v>20000</v>
      </c>
      <c r="I26" s="129">
        <f>'Data entry'!G23</f>
        <v>20000</v>
      </c>
      <c r="J26" s="122">
        <f t="shared" si="0"/>
        <v>0.5</v>
      </c>
      <c r="K26" s="127" t="str">
        <f>'Data entry'!I23</f>
        <v> recycle pit upgrade</v>
      </c>
      <c r="L26" s="114" t="str">
        <f>'Data entry'!J23</f>
        <v>Lot number removed</v>
      </c>
      <c r="M26" s="114">
        <f>'Data entry'!K23</f>
        <v>0</v>
      </c>
      <c r="N26" s="457" t="str">
        <f>'Data entry'!T23</f>
        <v>Changing effectiveness on recycle pit (share with other bid ?)</v>
      </c>
      <c r="O26" s="123"/>
      <c r="P26" s="123"/>
      <c r="Q26" s="124">
        <v>2</v>
      </c>
      <c r="R26" s="114">
        <f>'Data entry'!O23</f>
        <v>5</v>
      </c>
      <c r="S26" s="114">
        <f>'Data entry'!P23</f>
        <v>1</v>
      </c>
      <c r="T26" s="126">
        <f>'current bses'!L23+'current bses'!O23</f>
        <v>22.2</v>
      </c>
      <c r="U26" s="461" t="str">
        <f>'Data entry'!I23</f>
        <v> recycle pit upgrade</v>
      </c>
      <c r="V26" s="125">
        <f>'Data entry'!R23</f>
        <v>511</v>
      </c>
      <c r="W26" s="125">
        <f>'thorburn clases'!D23</f>
        <v>3</v>
      </c>
      <c r="X26" s="125">
        <f>'N movement slave'!G23</f>
        <v>174</v>
      </c>
      <c r="Y26" s="125">
        <f>'N movement slave'!H23</f>
        <v>1585</v>
      </c>
      <c r="Z26" s="125">
        <f>'N movement slave'!I23</f>
        <v>78</v>
      </c>
      <c r="AA26" s="125">
        <f>'N movement slave'!J23</f>
        <v>311</v>
      </c>
      <c r="AB26" s="125">
        <f>'N movement slave'!K23</f>
        <v>2</v>
      </c>
      <c r="AC26" s="107">
        <f t="shared" si="1"/>
        <v>0.91675</v>
      </c>
      <c r="AD26" s="124">
        <f>'Data entry'!X23</f>
        <v>194</v>
      </c>
      <c r="AE26" s="124">
        <f>'Data entry'!Y23</f>
        <v>285</v>
      </c>
      <c r="AF26" s="36">
        <v>0.2</v>
      </c>
      <c r="AG26" s="35">
        <f t="shared" si="2"/>
        <v>148.7816091954023</v>
      </c>
      <c r="AH26" s="35">
        <f t="shared" si="3"/>
        <v>3.7195402298850575</v>
      </c>
      <c r="AI26" s="35">
        <f t="shared" si="4"/>
        <v>1742.4530264367816</v>
      </c>
      <c r="AJ26" s="35">
        <f t="shared" si="5"/>
        <v>126.4</v>
      </c>
      <c r="AK26" s="35">
        <f t="shared" si="6"/>
        <v>3.16</v>
      </c>
      <c r="AL26" s="35">
        <f t="shared" si="7"/>
        <v>1480.33123</v>
      </c>
      <c r="AM26" s="60">
        <f>'Data entry'!S23</f>
        <v>15</v>
      </c>
      <c r="AN26" s="59">
        <f t="shared" si="8"/>
        <v>76.65</v>
      </c>
      <c r="AO26" s="59">
        <f t="shared" si="9"/>
        <v>0.19569471624266144</v>
      </c>
      <c r="AP26" s="107">
        <f t="shared" si="10"/>
        <v>0.15826857232722188</v>
      </c>
      <c r="AQ26" s="586">
        <f>'Data entry'!BQ23+0.05</f>
        <v>0.11203098566076793</v>
      </c>
      <c r="AR26" s="38">
        <f t="shared" si="11"/>
        <v>30.895407005964827</v>
      </c>
      <c r="AS26" s="39">
        <v>5</v>
      </c>
      <c r="AT26" s="38">
        <f t="shared" si="12"/>
        <v>154.47703502982415</v>
      </c>
      <c r="AU26" s="41">
        <v>7460</v>
      </c>
      <c r="AV26" s="41">
        <v>401</v>
      </c>
      <c r="AW26" s="41">
        <f t="shared" si="13"/>
        <v>7861</v>
      </c>
      <c r="AX26" s="42">
        <f t="shared" si="14"/>
        <v>1.965106666197992E-05</v>
      </c>
      <c r="AY26" s="432">
        <f>'Verification score'!M23</f>
        <v>0.6708333333333333</v>
      </c>
      <c r="AZ26" s="107">
        <f>'Data entry'!$AU$3</f>
        <v>0.1</v>
      </c>
      <c r="BA26" s="432">
        <f>'future bses'!AI23</f>
        <v>0.008035714285714285</v>
      </c>
      <c r="BB26" s="107">
        <f>'Data entry'!$AV$3</f>
        <v>0.05</v>
      </c>
      <c r="BC26" s="43">
        <f t="shared" si="15"/>
        <v>0.0020977750892732456</v>
      </c>
      <c r="BD26" s="587">
        <f t="shared" si="16"/>
        <v>20000</v>
      </c>
      <c r="BE26" s="199">
        <f t="shared" si="17"/>
        <v>1.0488875446366228E-07</v>
      </c>
      <c r="BF26" t="s">
        <v>1078</v>
      </c>
    </row>
    <row r="27" spans="1:57" ht="12.75">
      <c r="A27" s="45"/>
      <c r="B27" s="286">
        <v>24</v>
      </c>
      <c r="C27" s="126" t="str">
        <f>'Data entry'!A24</f>
        <v>33c</v>
      </c>
      <c r="D27" s="124">
        <f>'Data entry'!B24</f>
        <v>22</v>
      </c>
      <c r="E27" s="452" t="s">
        <v>1116</v>
      </c>
      <c r="F27" s="120" t="s">
        <v>778</v>
      </c>
      <c r="G27" s="129">
        <f>'Data entry'!E24</f>
        <v>45000</v>
      </c>
      <c r="H27" s="129">
        <f>'Data entry'!F24</f>
        <v>15000</v>
      </c>
      <c r="I27" s="129">
        <f>'Data entry'!G24</f>
        <v>30000</v>
      </c>
      <c r="J27" s="122">
        <f t="shared" si="0"/>
        <v>0.6666666666666666</v>
      </c>
      <c r="K27" s="127" t="str">
        <f>'Data entry'!I24</f>
        <v>Recycle pit</v>
      </c>
      <c r="L27" s="114" t="str">
        <f>'Data entry'!J24</f>
        <v>Lot number removed</v>
      </c>
      <c r="M27" s="114">
        <f>'Data entry'!K24</f>
        <v>0</v>
      </c>
      <c r="N27" s="457">
        <f>'Data entry'!T24</f>
        <v>0</v>
      </c>
      <c r="O27" s="123"/>
      <c r="P27" s="123"/>
      <c r="Q27" s="124">
        <v>2</v>
      </c>
      <c r="R27" s="114">
        <f>'Data entry'!O24</f>
        <v>5</v>
      </c>
      <c r="S27" s="114">
        <f>'Data entry'!P24</f>
        <v>0</v>
      </c>
      <c r="T27" s="126">
        <f>'current bses'!L24+'current bses'!O24</f>
        <v>9.95</v>
      </c>
      <c r="U27" s="461" t="str">
        <f>'Data entry'!I24</f>
        <v>Recycle pit</v>
      </c>
      <c r="V27" s="125">
        <f>'Data entry'!R24</f>
        <v>150</v>
      </c>
      <c r="W27" s="125">
        <f>'thorburn clases'!D24</f>
        <v>3</v>
      </c>
      <c r="X27" s="125">
        <f>'N movement slave'!G24</f>
        <v>174</v>
      </c>
      <c r="Y27" s="125">
        <f>'N movement slave'!H24</f>
        <v>1585</v>
      </c>
      <c r="Z27" s="125">
        <f>'N movement slave'!I24</f>
        <v>78</v>
      </c>
      <c r="AA27" s="125">
        <f>'N movement slave'!J24</f>
        <v>311</v>
      </c>
      <c r="AB27" s="125">
        <f>'N movement slave'!K24</f>
        <v>2</v>
      </c>
      <c r="AC27" s="107">
        <f t="shared" si="1"/>
        <v>0.9626875</v>
      </c>
      <c r="AD27" s="124">
        <f>'Data entry'!X24</f>
        <v>194</v>
      </c>
      <c r="AE27" s="124">
        <f>'Data entry'!Y24</f>
        <v>285</v>
      </c>
      <c r="AF27" s="36">
        <v>0.2</v>
      </c>
      <c r="AG27" s="35">
        <f t="shared" si="2"/>
        <v>148.7816091954023</v>
      </c>
      <c r="AH27" s="35">
        <f t="shared" si="3"/>
        <v>3.7195402298850575</v>
      </c>
      <c r="AI27" s="35">
        <f t="shared" si="4"/>
        <v>537.1132327586207</v>
      </c>
      <c r="AJ27" s="35">
        <f t="shared" si="5"/>
        <v>126.4</v>
      </c>
      <c r="AK27" s="35">
        <f t="shared" si="6"/>
        <v>3.16</v>
      </c>
      <c r="AL27" s="35">
        <f t="shared" si="7"/>
        <v>456.313875</v>
      </c>
      <c r="AM27" s="60">
        <f>'Data entry'!S24</f>
        <v>5</v>
      </c>
      <c r="AN27" s="59">
        <f t="shared" si="8"/>
        <v>22.5</v>
      </c>
      <c r="AO27" s="59">
        <f t="shared" si="9"/>
        <v>0.2222222222222222</v>
      </c>
      <c r="AP27" s="107">
        <f t="shared" si="10"/>
        <v>0.1686548668079282</v>
      </c>
      <c r="AQ27" s="40">
        <f>IF(AM27=10.89,0.3,1)+0.05</f>
        <v>1.05</v>
      </c>
      <c r="AR27" s="38">
        <f t="shared" si="11"/>
        <v>95.11609876826498</v>
      </c>
      <c r="AS27" s="39">
        <v>5</v>
      </c>
      <c r="AT27" s="38">
        <f t="shared" si="12"/>
        <v>475.5804938413249</v>
      </c>
      <c r="AU27" s="41">
        <v>7460</v>
      </c>
      <c r="AV27" s="41">
        <v>401</v>
      </c>
      <c r="AW27" s="41">
        <f t="shared" si="13"/>
        <v>7861</v>
      </c>
      <c r="AX27" s="42">
        <f t="shared" si="14"/>
        <v>6.049872711376732E-05</v>
      </c>
      <c r="AY27" s="432">
        <f>'Verification score'!M24</f>
        <v>0.6041666666666666</v>
      </c>
      <c r="AZ27" s="107">
        <f>'Data entry'!$AU$3</f>
        <v>0.1</v>
      </c>
      <c r="BA27" s="432">
        <f>'future bses'!AI24</f>
        <v>0.004464285714285714</v>
      </c>
      <c r="BB27" s="107">
        <f>'Data entry'!$AV$3</f>
        <v>0.05</v>
      </c>
      <c r="BC27" s="43">
        <f t="shared" si="15"/>
        <v>0.006416817860126804</v>
      </c>
      <c r="BD27" s="44">
        <f t="shared" si="16"/>
        <v>30000</v>
      </c>
      <c r="BE27">
        <f t="shared" si="17"/>
        <v>2.1389392867089348E-07</v>
      </c>
    </row>
    <row r="28" spans="1:57" ht="12.75">
      <c r="A28" s="45"/>
      <c r="B28" s="286">
        <v>28</v>
      </c>
      <c r="C28" s="126">
        <f>'Data entry'!A28</f>
        <v>38</v>
      </c>
      <c r="D28" s="124">
        <f>'Data entry'!B28</f>
        <v>26</v>
      </c>
      <c r="E28" s="452" t="s">
        <v>1116</v>
      </c>
      <c r="F28" s="120" t="s">
        <v>778</v>
      </c>
      <c r="G28" s="129">
        <f>'Data entry'!E28</f>
        <v>35000</v>
      </c>
      <c r="H28" s="129">
        <f>'Data entry'!F28</f>
        <v>25000</v>
      </c>
      <c r="I28" s="129">
        <f>'Data entry'!G28</f>
        <v>10000</v>
      </c>
      <c r="J28" s="122">
        <f t="shared" si="0"/>
        <v>0.2857142857142857</v>
      </c>
      <c r="K28" s="127" t="str">
        <f>'Data entry'!I28</f>
        <v>Recycle pit</v>
      </c>
      <c r="L28" s="114" t="str">
        <f>'Data entry'!J28</f>
        <v>Lot number removed</v>
      </c>
      <c r="M28" s="114">
        <f>'Data entry'!K28</f>
        <v>0</v>
      </c>
      <c r="N28" s="457">
        <f>'Data entry'!T28</f>
        <v>0</v>
      </c>
      <c r="O28" s="123"/>
      <c r="P28" s="123"/>
      <c r="Q28" s="124">
        <v>2</v>
      </c>
      <c r="R28" s="114">
        <f>'Data entry'!O28</f>
        <v>5</v>
      </c>
      <c r="S28" s="114">
        <f>'Data entry'!P28</f>
        <v>0</v>
      </c>
      <c r="T28" s="448">
        <f>'current bses'!L28+'current bses'!O28</f>
        <v>9.95</v>
      </c>
      <c r="U28" s="461" t="str">
        <f>'Data entry'!I28</f>
        <v>Recycle pit</v>
      </c>
      <c r="V28" s="125">
        <f>'Data entry'!R28</f>
        <v>100</v>
      </c>
      <c r="W28" s="125">
        <f>'thorburn clases'!D28</f>
        <v>3</v>
      </c>
      <c r="X28" s="125">
        <f>'N movement slave'!G18</f>
        <v>136</v>
      </c>
      <c r="Y28" s="125">
        <f>'N movement slave'!H18</f>
        <v>1605</v>
      </c>
      <c r="Z28" s="125">
        <f>'N movement slave'!I18</f>
        <v>47</v>
      </c>
      <c r="AA28" s="125">
        <f>'N movement slave'!J18</f>
        <v>310</v>
      </c>
      <c r="AB28" s="125">
        <f>'N movement slave'!K18</f>
        <v>2</v>
      </c>
      <c r="AC28" s="107">
        <f t="shared" si="1"/>
        <v>0.9626875</v>
      </c>
      <c r="AD28" s="124">
        <f>'Data entry'!X28</f>
        <v>161.8925</v>
      </c>
      <c r="AE28" s="124">
        <f>'Data entry'!Y28</f>
        <v>183.75</v>
      </c>
      <c r="AF28" s="36">
        <v>0.2</v>
      </c>
      <c r="AG28" s="35">
        <f t="shared" si="2"/>
        <v>77.79776838235296</v>
      </c>
      <c r="AH28" s="35">
        <f t="shared" si="3"/>
        <v>3.1754191176470594</v>
      </c>
      <c r="AI28" s="35">
        <f t="shared" si="4"/>
        <v>305.6936291819854</v>
      </c>
      <c r="AJ28" s="35">
        <f t="shared" si="5"/>
        <v>70.68925</v>
      </c>
      <c r="AK28" s="35">
        <f t="shared" si="6"/>
        <v>2.8852755102040817</v>
      </c>
      <c r="AL28" s="35">
        <f t="shared" si="7"/>
        <v>277.7618667729592</v>
      </c>
      <c r="AM28" s="60">
        <f>'Data entry'!S28</f>
        <v>12</v>
      </c>
      <c r="AN28" s="59">
        <f t="shared" si="8"/>
        <v>15</v>
      </c>
      <c r="AO28" s="59">
        <f t="shared" si="9"/>
        <v>0.8</v>
      </c>
      <c r="AP28" s="107">
        <f t="shared" si="10"/>
        <v>0.3200001105512309</v>
      </c>
      <c r="AQ28" s="40">
        <f>IF(AM28=10.89,0.3,1)</f>
        <v>1</v>
      </c>
      <c r="AR28" s="38">
        <f t="shared" si="11"/>
        <v>97.82199513304231</v>
      </c>
      <c r="AS28" s="39">
        <v>5</v>
      </c>
      <c r="AT28" s="38">
        <f t="shared" si="12"/>
        <v>489.10997566521155</v>
      </c>
      <c r="AU28" s="41">
        <v>7460</v>
      </c>
      <c r="AV28" s="41">
        <v>401</v>
      </c>
      <c r="AW28" s="41">
        <f t="shared" si="13"/>
        <v>7861</v>
      </c>
      <c r="AX28" s="42">
        <f t="shared" si="14"/>
        <v>6.221981626576918E-05</v>
      </c>
      <c r="AY28" s="432">
        <f>'Verification score'!M28</f>
        <v>0.38308333333333333</v>
      </c>
      <c r="AZ28" s="107">
        <f>'Data entry'!$AU$3</f>
        <v>0.1</v>
      </c>
      <c r="BA28" s="432">
        <f>'future bses'!AI28</f>
        <v>0.08285714285714287</v>
      </c>
      <c r="BB28" s="107">
        <f>'Data entry'!$AV$3</f>
        <v>0.05</v>
      </c>
      <c r="BC28" s="43">
        <f t="shared" si="15"/>
        <v>0.006487099619265836</v>
      </c>
      <c r="BD28" s="44">
        <f t="shared" si="16"/>
        <v>10000</v>
      </c>
      <c r="BE28">
        <f t="shared" si="17"/>
        <v>6.487099619265836E-07</v>
      </c>
    </row>
    <row r="29" spans="1:57" ht="25.5">
      <c r="A29" s="45"/>
      <c r="B29" s="287">
        <v>29</v>
      </c>
      <c r="C29" s="126" t="str">
        <f>'Data entry'!A29</f>
        <v>39a</v>
      </c>
      <c r="D29" s="124">
        <f>'Data entry'!B29</f>
        <v>27</v>
      </c>
      <c r="E29" s="452" t="s">
        <v>1116</v>
      </c>
      <c r="F29" s="120" t="s">
        <v>778</v>
      </c>
      <c r="G29" s="129">
        <f>'Data entry'!E29</f>
        <v>150000</v>
      </c>
      <c r="H29" s="129">
        <f>'Data entry'!F29</f>
        <v>75000</v>
      </c>
      <c r="I29" s="129">
        <f>'Data entry'!G29</f>
        <v>75000</v>
      </c>
      <c r="J29" s="122">
        <f t="shared" si="0"/>
        <v>0.5</v>
      </c>
      <c r="K29" s="127" t="str">
        <f>'Data entry'!I29</f>
        <v>recycle pit extension </v>
      </c>
      <c r="L29" s="114" t="str">
        <f>'Data entry'!J29</f>
        <v>Lot number removed</v>
      </c>
      <c r="M29" s="114" t="str">
        <f>'Data entry'!K29</f>
        <v>Brandon</v>
      </c>
      <c r="N29" s="457" t="str">
        <f>'Data entry'!T29</f>
        <v>recycle pit extension </v>
      </c>
      <c r="O29" s="123"/>
      <c r="P29" s="123"/>
      <c r="Q29" s="124">
        <v>2</v>
      </c>
      <c r="R29" s="114">
        <f>'Data entry'!O29</f>
        <v>5</v>
      </c>
      <c r="S29" s="114">
        <f>'Data entry'!P29</f>
        <v>1</v>
      </c>
      <c r="T29" s="448">
        <f>'current bses'!L29+'current bses'!O29</f>
        <v>30.475</v>
      </c>
      <c r="U29" s="461" t="str">
        <f>'Data entry'!I29</f>
        <v>recycle pit extension </v>
      </c>
      <c r="V29" s="125">
        <f>'Data entry'!R29</f>
        <v>250</v>
      </c>
      <c r="W29" s="125">
        <f>'thorburn clases'!D29</f>
        <v>5</v>
      </c>
      <c r="X29" s="125">
        <f>'N movement slave'!G29</f>
        <v>305</v>
      </c>
      <c r="Y29" s="125">
        <f>'N movement slave'!H29</f>
        <v>437</v>
      </c>
      <c r="Z29" s="125">
        <f>'N movement slave'!I29</f>
        <v>40</v>
      </c>
      <c r="AA29" s="125">
        <f>'N movement slave'!J29</f>
        <v>1276</v>
      </c>
      <c r="AB29" s="125">
        <f>'N movement slave'!K29</f>
        <v>59</v>
      </c>
      <c r="AC29" s="107">
        <f t="shared" si="1"/>
        <v>0.88571875</v>
      </c>
      <c r="AD29" s="124">
        <f>'Data entry'!X29</f>
        <v>194</v>
      </c>
      <c r="AE29" s="124">
        <f>'Data entry'!Y29</f>
        <v>258</v>
      </c>
      <c r="AF29" s="36">
        <v>0.2</v>
      </c>
      <c r="AG29" s="35">
        <f t="shared" si="2"/>
        <v>96.27344262295082</v>
      </c>
      <c r="AH29" s="35">
        <f t="shared" si="3"/>
        <v>57.37508196721312</v>
      </c>
      <c r="AI29" s="35">
        <f t="shared" si="4"/>
        <v>12704.546470286887</v>
      </c>
      <c r="AJ29" s="35">
        <f t="shared" si="5"/>
        <v>69.10000000000001</v>
      </c>
      <c r="AK29" s="35">
        <f t="shared" si="6"/>
        <v>41.180808080808085</v>
      </c>
      <c r="AL29" s="35">
        <f t="shared" si="7"/>
        <v>9118.65346433081</v>
      </c>
      <c r="AM29" s="535">
        <v>10.89</v>
      </c>
      <c r="AN29" s="59">
        <f t="shared" si="8"/>
        <v>37.5</v>
      </c>
      <c r="AO29" s="59">
        <f t="shared" si="9"/>
        <v>0.2904</v>
      </c>
      <c r="AP29" s="107">
        <f t="shared" si="10"/>
        <v>0.1927984068483617</v>
      </c>
      <c r="AQ29" s="40">
        <f>'Data entry'!BQ29</f>
        <v>0</v>
      </c>
      <c r="AR29" s="38">
        <f t="shared" si="11"/>
        <v>0</v>
      </c>
      <c r="AS29" s="39">
        <v>5</v>
      </c>
      <c r="AT29" s="38">
        <f t="shared" si="12"/>
        <v>0</v>
      </c>
      <c r="AU29" s="41">
        <v>7460</v>
      </c>
      <c r="AV29" s="41">
        <v>401</v>
      </c>
      <c r="AW29" s="41">
        <f t="shared" si="13"/>
        <v>7861</v>
      </c>
      <c r="AX29" s="42">
        <f t="shared" si="14"/>
        <v>0</v>
      </c>
      <c r="AY29" s="432">
        <f>'Verification score'!M29</f>
        <v>0.7845833333333334</v>
      </c>
      <c r="AZ29" s="107">
        <f>'Data entry'!$AU$3</f>
        <v>0.1</v>
      </c>
      <c r="BA29" s="432">
        <f>'future bses'!AI29</f>
        <v>0.0035714285714285713</v>
      </c>
      <c r="BB29" s="107">
        <f>'Data entry'!$AV$3</f>
        <v>0.05</v>
      </c>
      <c r="BC29" s="43">
        <f t="shared" si="15"/>
        <v>0</v>
      </c>
      <c r="BD29" s="44">
        <f t="shared" si="16"/>
        <v>75000</v>
      </c>
      <c r="BE29">
        <f t="shared" si="17"/>
        <v>0</v>
      </c>
    </row>
    <row r="30" spans="1:57" ht="25.5">
      <c r="A30" s="45"/>
      <c r="B30" s="287">
        <v>34</v>
      </c>
      <c r="C30" s="126">
        <f>'Data entry'!A34</f>
        <v>40</v>
      </c>
      <c r="D30" s="124">
        <f>'Data entry'!B34</f>
        <v>32</v>
      </c>
      <c r="E30" s="452" t="s">
        <v>1116</v>
      </c>
      <c r="F30" s="120" t="s">
        <v>778</v>
      </c>
      <c r="G30" s="129">
        <f>'Data entry'!E34</f>
        <v>6000</v>
      </c>
      <c r="H30" s="129">
        <f>'Data entry'!F34</f>
        <v>0</v>
      </c>
      <c r="I30" s="129">
        <f>'Data entry'!G34</f>
        <v>6000</v>
      </c>
      <c r="J30" s="122">
        <f t="shared" si="0"/>
        <v>1</v>
      </c>
      <c r="K30" s="127" t="str">
        <f>'Data entry'!I34</f>
        <v>Recycle Pit upgrade</v>
      </c>
      <c r="L30" s="114" t="str">
        <f>'Data entry'!J34</f>
        <v>Lot number removed</v>
      </c>
      <c r="M30" s="114">
        <f>'Data entry'!K34</f>
        <v>0</v>
      </c>
      <c r="N30" s="457" t="str">
        <f>'Data entry'!T34</f>
        <v>Recycle Pit upgrade</v>
      </c>
      <c r="O30" s="123"/>
      <c r="P30" s="123"/>
      <c r="Q30" s="124">
        <v>2</v>
      </c>
      <c r="R30" s="114">
        <f>'Data entry'!O34</f>
        <v>5</v>
      </c>
      <c r="S30" s="114">
        <f>'Data entry'!P34</f>
        <v>0</v>
      </c>
      <c r="T30" s="448">
        <f>'current bses'!L34+'current bses'!O34</f>
        <v>29.5</v>
      </c>
      <c r="U30" s="461" t="str">
        <f>'Data entry'!I34</f>
        <v>Recycle Pit upgrade</v>
      </c>
      <c r="V30" s="125">
        <f>'Data entry'!R34</f>
        <v>153</v>
      </c>
      <c r="W30" s="125">
        <f>'thorburn clases'!D34</f>
        <v>3</v>
      </c>
      <c r="X30" s="125">
        <f>'N movement slave'!G34</f>
        <v>174</v>
      </c>
      <c r="Y30" s="125">
        <f>'N movement slave'!H34</f>
        <v>1585</v>
      </c>
      <c r="Z30" s="125">
        <f>'N movement slave'!I34</f>
        <v>78</v>
      </c>
      <c r="AA30" s="125">
        <f>'N movement slave'!J34</f>
        <v>311</v>
      </c>
      <c r="AB30" s="125">
        <f>'N movement slave'!K34</f>
        <v>2</v>
      </c>
      <c r="AC30" s="107">
        <f t="shared" si="1"/>
        <v>0.889375</v>
      </c>
      <c r="AD30" s="124">
        <f>'Data entry'!X34</f>
        <v>202.5</v>
      </c>
      <c r="AE30" s="124">
        <f>'Data entry'!Y34</f>
        <v>224</v>
      </c>
      <c r="AF30" s="36">
        <v>0.2</v>
      </c>
      <c r="AG30" s="35">
        <f t="shared" si="2"/>
        <v>121.51724137931035</v>
      </c>
      <c r="AH30" s="35">
        <f t="shared" si="3"/>
        <v>3.037931034482759</v>
      </c>
      <c r="AI30" s="35">
        <f t="shared" si="4"/>
        <v>413.38456681034484</v>
      </c>
      <c r="AJ30" s="35">
        <f t="shared" si="5"/>
        <v>102.85000000000001</v>
      </c>
      <c r="AK30" s="35">
        <f t="shared" si="6"/>
        <v>2.57125</v>
      </c>
      <c r="AL30" s="35">
        <f t="shared" si="7"/>
        <v>349.88123671875</v>
      </c>
      <c r="AM30" s="535">
        <v>10.89</v>
      </c>
      <c r="AN30" s="59">
        <f t="shared" si="8"/>
        <v>22.95</v>
      </c>
      <c r="AO30" s="59">
        <f t="shared" si="9"/>
        <v>0.47450980392156866</v>
      </c>
      <c r="AP30" s="107">
        <f t="shared" si="10"/>
        <v>0.24644937993040752</v>
      </c>
      <c r="AQ30" s="40">
        <f>'Data entry'!BE34</f>
        <v>0.2197224577336221</v>
      </c>
      <c r="AR30" s="38">
        <f t="shared" si="11"/>
        <v>22.38496588215613</v>
      </c>
      <c r="AS30" s="39">
        <v>5</v>
      </c>
      <c r="AT30" s="38">
        <f t="shared" si="12"/>
        <v>111.92482941078066</v>
      </c>
      <c r="AU30" s="41">
        <v>7460</v>
      </c>
      <c r="AV30" s="41">
        <v>401</v>
      </c>
      <c r="AW30" s="41">
        <f t="shared" si="13"/>
        <v>7861</v>
      </c>
      <c r="AX30" s="42">
        <f t="shared" si="14"/>
        <v>1.4237988730540728E-05</v>
      </c>
      <c r="AY30" s="432">
        <f>'Verification score'!M34</f>
        <v>0.36833333333333335</v>
      </c>
      <c r="AZ30" s="107">
        <f>'Data entry'!$AU$3</f>
        <v>0.1</v>
      </c>
      <c r="BA30" s="432">
        <f>'future bses'!AI34</f>
        <v>0.39375000000000004</v>
      </c>
      <c r="BB30" s="107">
        <f>'Data entry'!$AV$3</f>
        <v>0.05</v>
      </c>
      <c r="BC30" s="43">
        <f t="shared" si="15"/>
        <v>0.0015053056485096882</v>
      </c>
      <c r="BD30" s="44">
        <f t="shared" si="16"/>
        <v>6000</v>
      </c>
      <c r="BE30">
        <f t="shared" si="17"/>
        <v>2.508842747516147E-07</v>
      </c>
    </row>
    <row r="31" spans="1:57" ht="12.75">
      <c r="A31" s="45"/>
      <c r="B31" s="287">
        <v>35</v>
      </c>
      <c r="C31" s="126">
        <f>'Data entry'!A35</f>
        <v>41</v>
      </c>
      <c r="D31" s="124">
        <f>'Data entry'!B35</f>
        <v>33</v>
      </c>
      <c r="E31" s="452" t="s">
        <v>1116</v>
      </c>
      <c r="F31" s="120" t="s">
        <v>778</v>
      </c>
      <c r="G31" s="129">
        <f>'Data entry'!E35</f>
        <v>213500</v>
      </c>
      <c r="H31" s="129">
        <f>'Data entry'!F35</f>
        <v>125000</v>
      </c>
      <c r="I31" s="129">
        <f>'Data entry'!G35</f>
        <v>88500</v>
      </c>
      <c r="J31" s="122">
        <f t="shared" si="0"/>
        <v>0.41451990632318503</v>
      </c>
      <c r="K31" s="127" t="str">
        <f>'Data entry'!I35</f>
        <v>Recycle pit</v>
      </c>
      <c r="L31" s="114" t="str">
        <f>'Data entry'!J35</f>
        <v>Lot number removed</v>
      </c>
      <c r="M31" s="114">
        <f>'Data entry'!K35</f>
        <v>0</v>
      </c>
      <c r="N31" s="457">
        <f>'Data entry'!T35</f>
        <v>0</v>
      </c>
      <c r="O31" s="123"/>
      <c r="P31" s="123"/>
      <c r="Q31" s="124">
        <v>2</v>
      </c>
      <c r="R31" s="114">
        <f>'Data entry'!O35</f>
        <v>5</v>
      </c>
      <c r="S31" s="114">
        <f>'Data entry'!P35</f>
        <v>0</v>
      </c>
      <c r="T31" s="448">
        <f>'current bses'!L35+'current bses'!O35</f>
        <v>11.35</v>
      </c>
      <c r="U31" s="461" t="str">
        <f>'Data entry'!I35</f>
        <v>Recycle pit</v>
      </c>
      <c r="V31" s="125">
        <f>'Data entry'!R35</f>
        <v>370</v>
      </c>
      <c r="W31" s="125">
        <f>'thorburn clases'!D35</f>
        <v>2</v>
      </c>
      <c r="X31" s="125">
        <f>'N movement slave'!G35</f>
        <v>136</v>
      </c>
      <c r="Y31" s="125">
        <f>'N movement slave'!H35</f>
        <v>1605</v>
      </c>
      <c r="Z31" s="125">
        <f>'N movement slave'!I35</f>
        <v>47</v>
      </c>
      <c r="AA31" s="125">
        <f>'N movement slave'!J35</f>
        <v>310</v>
      </c>
      <c r="AB31" s="125">
        <f>'N movement slave'!K35</f>
        <v>2</v>
      </c>
      <c r="AC31" s="107">
        <f t="shared" si="1"/>
        <v>0.9574375</v>
      </c>
      <c r="AD31" s="124">
        <f>'Data entry'!X35</f>
        <v>84.375</v>
      </c>
      <c r="AE31" s="124">
        <f>'Data entry'!Y35</f>
        <v>245</v>
      </c>
      <c r="AF31" s="36">
        <v>0.2</v>
      </c>
      <c r="AG31" s="35">
        <f t="shared" si="2"/>
        <v>94.27996323529412</v>
      </c>
      <c r="AH31" s="35">
        <f t="shared" si="3"/>
        <v>3.8481617647058823</v>
      </c>
      <c r="AI31" s="35">
        <f t="shared" si="4"/>
        <v>1363.2185204503678</v>
      </c>
      <c r="AJ31" s="35">
        <f t="shared" si="5"/>
        <v>87.4375</v>
      </c>
      <c r="AK31" s="35">
        <f t="shared" si="6"/>
        <v>3.568877551020408</v>
      </c>
      <c r="AL31" s="35">
        <f t="shared" si="7"/>
        <v>1264.281564094388</v>
      </c>
      <c r="AM31" s="60">
        <f>'Data entry'!S35</f>
        <v>20</v>
      </c>
      <c r="AN31" s="59">
        <f t="shared" si="8"/>
        <v>55.5</v>
      </c>
      <c r="AO31" s="59">
        <f t="shared" si="9"/>
        <v>0.36036036036036034</v>
      </c>
      <c r="AP31" s="107">
        <f t="shared" si="10"/>
        <v>0.2147700118656158</v>
      </c>
      <c r="AQ31" s="40">
        <f>IF(AM31=10.89,0.3,1)</f>
        <v>1</v>
      </c>
      <c r="AR31" s="38">
        <f t="shared" si="11"/>
        <v>292.77845781255274</v>
      </c>
      <c r="AS31" s="39">
        <v>5</v>
      </c>
      <c r="AT31" s="38">
        <f t="shared" si="12"/>
        <v>1463.8922890627637</v>
      </c>
      <c r="AU31" s="41">
        <v>7460</v>
      </c>
      <c r="AV31" s="41">
        <v>401</v>
      </c>
      <c r="AW31" s="41">
        <f t="shared" si="13"/>
        <v>7861</v>
      </c>
      <c r="AX31" s="42">
        <f t="shared" si="14"/>
        <v>0.00018622214591817372</v>
      </c>
      <c r="AY31" s="432">
        <f>'Verification score'!M35</f>
        <v>0.37</v>
      </c>
      <c r="AZ31" s="107">
        <f>'Data entry'!$AU$3</f>
        <v>0.1</v>
      </c>
      <c r="BA31" s="432">
        <f>'future bses'!AI35</f>
        <v>0.0437142857142857</v>
      </c>
      <c r="BB31" s="107">
        <f>'Data entry'!$AV$3</f>
        <v>0.05</v>
      </c>
      <c r="BC31" s="43">
        <f t="shared" si="15"/>
        <v>0.01935344537727679</v>
      </c>
      <c r="BD31" s="44">
        <f t="shared" si="16"/>
        <v>88500</v>
      </c>
      <c r="BE31">
        <f t="shared" si="17"/>
        <v>2.1868299861329706E-07</v>
      </c>
    </row>
    <row r="32" spans="1:57" ht="12.75">
      <c r="A32" s="45"/>
      <c r="B32" s="287">
        <v>36</v>
      </c>
      <c r="C32" s="126" t="str">
        <f>'Data entry'!A36</f>
        <v>42a</v>
      </c>
      <c r="D32" s="124">
        <f>'Data entry'!B36</f>
        <v>34</v>
      </c>
      <c r="E32" s="452" t="s">
        <v>1116</v>
      </c>
      <c r="F32" s="120" t="s">
        <v>778</v>
      </c>
      <c r="G32" s="129">
        <f>'Data entry'!E36</f>
        <v>60000</v>
      </c>
      <c r="H32" s="129">
        <f>'Data entry'!F36</f>
        <v>15000</v>
      </c>
      <c r="I32" s="129">
        <f>'Data entry'!G36</f>
        <v>45000</v>
      </c>
      <c r="J32" s="122">
        <f t="shared" si="0"/>
        <v>0.75</v>
      </c>
      <c r="K32" s="127" t="str">
        <f>'Data entry'!I36</f>
        <v>Recycle pit</v>
      </c>
      <c r="L32" s="114" t="str">
        <f>'Data entry'!J36</f>
        <v>Lot number removed</v>
      </c>
      <c r="M32" s="114">
        <f>'Data entry'!K36</f>
        <v>0</v>
      </c>
      <c r="N32" s="457">
        <f>'Data entry'!T36</f>
        <v>0</v>
      </c>
      <c r="O32" s="123"/>
      <c r="P32" s="123"/>
      <c r="Q32" s="124">
        <v>2</v>
      </c>
      <c r="R32" s="114">
        <f>'Data entry'!O36</f>
        <v>5</v>
      </c>
      <c r="S32" s="114">
        <f>'Data entry'!P36</f>
        <v>0</v>
      </c>
      <c r="T32" s="448">
        <f>'current bses'!L36+'current bses'!O36</f>
        <v>11.1</v>
      </c>
      <c r="U32" s="461" t="str">
        <f>'Data entry'!I36</f>
        <v>Recycle pit</v>
      </c>
      <c r="V32" s="125">
        <f>'Data entry'!R36</f>
        <v>20</v>
      </c>
      <c r="W32" s="125">
        <f>'thorburn clases'!D36</f>
        <v>3</v>
      </c>
      <c r="X32" s="125">
        <f>'N movement slave'!G36</f>
        <v>174</v>
      </c>
      <c r="Y32" s="125">
        <f>'N movement slave'!H36</f>
        <v>1377</v>
      </c>
      <c r="Z32" s="125">
        <f>'N movement slave'!I36</f>
        <v>51.5</v>
      </c>
      <c r="AA32" s="125">
        <f>'N movement slave'!J36</f>
        <v>379</v>
      </c>
      <c r="AB32" s="125">
        <f>'N movement slave'!K36</f>
        <v>2</v>
      </c>
      <c r="AC32" s="107">
        <f t="shared" si="1"/>
        <v>0.958375</v>
      </c>
      <c r="AD32" s="124">
        <f>'Data entry'!X36</f>
        <v>151.411</v>
      </c>
      <c r="AE32" s="124">
        <f>'Data entry'!Y36</f>
        <v>265.278</v>
      </c>
      <c r="AF32" s="36">
        <v>0.2</v>
      </c>
      <c r="AG32" s="35">
        <f t="shared" si="2"/>
        <v>90.81477413793104</v>
      </c>
      <c r="AH32" s="35">
        <f t="shared" si="3"/>
        <v>3.394944827586207</v>
      </c>
      <c r="AI32" s="35">
        <f t="shared" si="4"/>
        <v>65.07260498275862</v>
      </c>
      <c r="AJ32" s="35">
        <f t="shared" si="5"/>
        <v>87.75230000000002</v>
      </c>
      <c r="AK32" s="35">
        <f t="shared" si="6"/>
        <v>3.280459813084113</v>
      </c>
      <c r="AL32" s="35">
        <f t="shared" si="7"/>
        <v>62.87821346728973</v>
      </c>
      <c r="AM32" s="60">
        <f>'Data entry'!S36</f>
        <v>30</v>
      </c>
      <c r="AN32" s="59">
        <f t="shared" si="8"/>
        <v>3</v>
      </c>
      <c r="AO32" s="59">
        <f t="shared" si="9"/>
        <v>10</v>
      </c>
      <c r="AP32" s="107">
        <f t="shared" si="10"/>
        <v>0.8</v>
      </c>
      <c r="AQ32" s="40">
        <f>IF(AM32=10.89,0.3,1)</f>
        <v>1</v>
      </c>
      <c r="AR32" s="38">
        <f t="shared" si="11"/>
        <v>52.058083986206896</v>
      </c>
      <c r="AS32" s="39">
        <v>5</v>
      </c>
      <c r="AT32" s="38">
        <f t="shared" si="12"/>
        <v>260.2904199310345</v>
      </c>
      <c r="AU32" s="41">
        <v>7460</v>
      </c>
      <c r="AV32" s="41">
        <v>401</v>
      </c>
      <c r="AW32" s="41">
        <f t="shared" si="13"/>
        <v>7861</v>
      </c>
      <c r="AX32" s="42">
        <f t="shared" si="14"/>
        <v>3.311161683386776E-05</v>
      </c>
      <c r="AY32" s="432">
        <f>'Verification score'!M36</f>
        <v>0.4841666666666667</v>
      </c>
      <c r="AZ32" s="107">
        <f>'Data entry'!$AU$3</f>
        <v>0.1</v>
      </c>
      <c r="BA32" s="432">
        <f>'future bses'!AI36</f>
        <v>0.0057142857142857195</v>
      </c>
      <c r="BB32" s="107">
        <f>'Data entry'!$AV$3</f>
        <v>0.05</v>
      </c>
      <c r="BC32" s="43">
        <f t="shared" si="15"/>
        <v>0.0034724689454892926</v>
      </c>
      <c r="BD32" s="44">
        <f t="shared" si="16"/>
        <v>45000</v>
      </c>
      <c r="BE32">
        <f t="shared" si="17"/>
        <v>7.716597656642873E-08</v>
      </c>
    </row>
    <row r="33" spans="1:57" ht="25.5">
      <c r="A33" s="45"/>
      <c r="B33" s="287">
        <v>38</v>
      </c>
      <c r="C33" s="126">
        <f>'Data entry'!A38</f>
        <v>44</v>
      </c>
      <c r="D33" s="124">
        <f>'Data entry'!B38</f>
        <v>36</v>
      </c>
      <c r="E33" s="452" t="s">
        <v>1116</v>
      </c>
      <c r="F33" s="120" t="s">
        <v>778</v>
      </c>
      <c r="G33" s="129">
        <f>'Data entry'!E38</f>
        <v>40000</v>
      </c>
      <c r="H33" s="129">
        <f>'Data entry'!F38</f>
        <v>20000</v>
      </c>
      <c r="I33" s="129">
        <f>'Data entry'!G38</f>
        <v>20000</v>
      </c>
      <c r="J33" s="122">
        <f t="shared" si="0"/>
        <v>0.5</v>
      </c>
      <c r="K33" s="127" t="str">
        <f>'Data entry'!I38</f>
        <v>Recycle pit extension</v>
      </c>
      <c r="L33" s="114" t="str">
        <f>'Data entry'!J38</f>
        <v>Lot number removed</v>
      </c>
      <c r="M33" s="114">
        <f>'Data entry'!K38</f>
        <v>0</v>
      </c>
      <c r="N33" s="457" t="str">
        <f>'Data entry'!T38</f>
        <v>Recycle pit extension</v>
      </c>
      <c r="O33" s="123"/>
      <c r="P33" s="123"/>
      <c r="Q33" s="124">
        <v>2</v>
      </c>
      <c r="R33" s="114">
        <f>'Data entry'!O38</f>
        <v>7</v>
      </c>
      <c r="S33" s="114">
        <f>'Data entry'!P38</f>
        <v>0.5</v>
      </c>
      <c r="T33" s="448">
        <f>'current bses'!L38+'current bses'!O38</f>
        <v>20.775</v>
      </c>
      <c r="U33" s="461" t="str">
        <f>'Data entry'!I38</f>
        <v>Recycle pit extension</v>
      </c>
      <c r="V33" s="125">
        <f>'Data entry'!R38</f>
        <v>350</v>
      </c>
      <c r="W33" s="125">
        <f>'thorburn clases'!D38</f>
        <v>3</v>
      </c>
      <c r="X33" s="125">
        <f>'N movement slave'!G38</f>
        <v>174</v>
      </c>
      <c r="Y33" s="125">
        <f>'N movement slave'!H38</f>
        <v>1377</v>
      </c>
      <c r="Z33" s="125">
        <f>'N movement slave'!I38</f>
        <v>51.5</v>
      </c>
      <c r="AA33" s="125">
        <f>'N movement slave'!J38</f>
        <v>379</v>
      </c>
      <c r="AB33" s="125">
        <f>'N movement slave'!K38</f>
        <v>2</v>
      </c>
      <c r="AC33" s="107">
        <f t="shared" si="1"/>
        <v>0.92209375</v>
      </c>
      <c r="AD33" s="124">
        <f>'Data entry'!X38</f>
        <v>105.6</v>
      </c>
      <c r="AE33" s="124">
        <f>'Data entry'!Y38</f>
        <v>205.8</v>
      </c>
      <c r="AF33" s="36">
        <v>0.2</v>
      </c>
      <c r="AG33" s="35">
        <f t="shared" si="2"/>
        <v>69.70988505747128</v>
      </c>
      <c r="AH33" s="35">
        <f t="shared" si="3"/>
        <v>2.6059770114942538</v>
      </c>
      <c r="AI33" s="35">
        <f t="shared" si="4"/>
        <v>841.0342902298854</v>
      </c>
      <c r="AJ33" s="35">
        <f t="shared" si="5"/>
        <v>59.38000000000001</v>
      </c>
      <c r="AK33" s="35">
        <f t="shared" si="6"/>
        <v>2.21981308411215</v>
      </c>
      <c r="AL33" s="35">
        <f t="shared" si="7"/>
        <v>716.4065198598132</v>
      </c>
      <c r="AM33" s="60">
        <f>'Data entry'!S38</f>
        <v>20</v>
      </c>
      <c r="AN33" s="59">
        <f t="shared" si="8"/>
        <v>52.5</v>
      </c>
      <c r="AO33" s="59">
        <f t="shared" si="9"/>
        <v>0.38095238095238093</v>
      </c>
      <c r="AP33" s="107">
        <f t="shared" si="10"/>
        <v>0.22082105527715035</v>
      </c>
      <c r="AQ33" s="40">
        <f>'Data entry'!BQ38</f>
        <v>0.13862943611198897</v>
      </c>
      <c r="AR33" s="38">
        <f t="shared" si="11"/>
        <v>25.7459926358929</v>
      </c>
      <c r="AS33" s="39">
        <v>5</v>
      </c>
      <c r="AT33" s="38">
        <f t="shared" si="12"/>
        <v>128.7299631794645</v>
      </c>
      <c r="AU33" s="41">
        <v>7460</v>
      </c>
      <c r="AV33" s="41">
        <v>401</v>
      </c>
      <c r="AW33" s="41">
        <f t="shared" si="13"/>
        <v>7861</v>
      </c>
      <c r="AX33" s="42">
        <f t="shared" si="14"/>
        <v>1.6375774479005787E-05</v>
      </c>
      <c r="AY33" s="432">
        <f>'Verification score'!M38</f>
        <v>0.42083333333333334</v>
      </c>
      <c r="AZ33" s="107">
        <f>'Data entry'!$AU$3</f>
        <v>0.1</v>
      </c>
      <c r="BA33" s="432">
        <f>'future bses'!AI38</f>
        <v>0.03446428571428568</v>
      </c>
      <c r="BB33" s="107">
        <f>'Data entry'!$AV$3</f>
        <v>0.05</v>
      </c>
      <c r="BC33" s="43">
        <f t="shared" si="15"/>
        <v>0.0017094328171777767</v>
      </c>
      <c r="BD33" s="44">
        <f t="shared" si="16"/>
        <v>20000</v>
      </c>
      <c r="BE33">
        <f t="shared" si="17"/>
        <v>8.547164085888883E-08</v>
      </c>
    </row>
    <row r="34" spans="1:57" ht="12.75">
      <c r="A34" s="45"/>
      <c r="B34" s="287">
        <v>39</v>
      </c>
      <c r="C34" s="126">
        <f>'Data entry'!A39</f>
        <v>45</v>
      </c>
      <c r="D34" s="124">
        <f>'Data entry'!B39</f>
        <v>37</v>
      </c>
      <c r="E34" s="452" t="s">
        <v>1116</v>
      </c>
      <c r="F34" s="120" t="s">
        <v>778</v>
      </c>
      <c r="G34" s="129">
        <f>'Data entry'!E39</f>
        <v>94900</v>
      </c>
      <c r="H34" s="129">
        <f>'Data entry'!F39</f>
        <v>50000</v>
      </c>
      <c r="I34" s="129">
        <f>'Data entry'!G39</f>
        <v>44900</v>
      </c>
      <c r="J34" s="122">
        <f t="shared" si="0"/>
        <v>0.4731296101159115</v>
      </c>
      <c r="K34" s="127" t="str">
        <f>'Data entry'!I39</f>
        <v>Recycle pit</v>
      </c>
      <c r="L34" s="114" t="str">
        <f>'Data entry'!J39</f>
        <v>Lot number removed</v>
      </c>
      <c r="M34" s="114">
        <f>'Data entry'!K39</f>
        <v>0</v>
      </c>
      <c r="N34" s="457">
        <f>'Data entry'!T39</f>
        <v>0</v>
      </c>
      <c r="O34" s="123"/>
      <c r="P34" s="123"/>
      <c r="Q34" s="124">
        <v>2</v>
      </c>
      <c r="R34" s="114">
        <f>'Data entry'!O39</f>
        <v>5</v>
      </c>
      <c r="S34" s="114">
        <f>'Data entry'!P39</f>
        <v>1</v>
      </c>
      <c r="T34" s="448">
        <f>'current bses'!L39+'current bses'!O39</f>
        <v>8.025</v>
      </c>
      <c r="U34" s="461" t="str">
        <f>'Data entry'!I39</f>
        <v>Recycle pit</v>
      </c>
      <c r="V34" s="125">
        <f>'Data entry'!R39</f>
        <v>125</v>
      </c>
      <c r="W34" s="125">
        <f>'thorburn clases'!D39</f>
        <v>3</v>
      </c>
      <c r="X34" s="125">
        <f>'N movement slave'!G39</f>
        <v>174</v>
      </c>
      <c r="Y34" s="125">
        <f>'N movement slave'!H39</f>
        <v>448</v>
      </c>
      <c r="Z34" s="125">
        <f>'N movement slave'!I39</f>
        <v>15</v>
      </c>
      <c r="AA34" s="125">
        <f>'N movement slave'!J39</f>
        <v>1238</v>
      </c>
      <c r="AB34" s="125">
        <f>'N movement slave'!K39</f>
        <v>17</v>
      </c>
      <c r="AC34" s="107">
        <f t="shared" si="1"/>
        <v>0.96990625</v>
      </c>
      <c r="AD34" s="124">
        <f>'Data entry'!X39</f>
        <v>106</v>
      </c>
      <c r="AE34" s="124">
        <f>'Data entry'!Y39</f>
        <v>206</v>
      </c>
      <c r="AF34" s="36">
        <v>0.2</v>
      </c>
      <c r="AG34" s="35">
        <f t="shared" si="2"/>
        <v>41.747126436781606</v>
      </c>
      <c r="AH34" s="35">
        <f t="shared" si="3"/>
        <v>22.17816091954023</v>
      </c>
      <c r="AI34" s="35">
        <f t="shared" si="4"/>
        <v>2688.842111170977</v>
      </c>
      <c r="AJ34" s="35">
        <f t="shared" si="5"/>
        <v>38</v>
      </c>
      <c r="AK34" s="35">
        <f t="shared" si="6"/>
        <v>20.1875</v>
      </c>
      <c r="AL34" s="35">
        <f t="shared" si="7"/>
        <v>2447.497802734375</v>
      </c>
      <c r="AM34" s="60">
        <f>'Data entry'!S39</f>
        <v>22</v>
      </c>
      <c r="AN34" s="59">
        <f t="shared" si="8"/>
        <v>18.75</v>
      </c>
      <c r="AO34" s="59">
        <f t="shared" si="9"/>
        <v>1.1733333333333333</v>
      </c>
      <c r="AP34" s="107">
        <f t="shared" si="10"/>
        <v>0.3875393792086683</v>
      </c>
      <c r="AQ34" s="40">
        <f>IF(AM34=10.89,0.3,1)</f>
        <v>1</v>
      </c>
      <c r="AR34" s="38">
        <f t="shared" si="11"/>
        <v>1042.0322025533255</v>
      </c>
      <c r="AS34" s="39">
        <v>5</v>
      </c>
      <c r="AT34" s="38">
        <f t="shared" si="12"/>
        <v>5210.161012766628</v>
      </c>
      <c r="AU34" s="41">
        <v>7460</v>
      </c>
      <c r="AV34" s="41">
        <v>401</v>
      </c>
      <c r="AW34" s="41">
        <f t="shared" si="13"/>
        <v>7861</v>
      </c>
      <c r="AX34" s="42">
        <f t="shared" si="14"/>
        <v>0.000662786033935457</v>
      </c>
      <c r="AY34" s="432">
        <f>'Verification score'!M39</f>
        <v>0.26083333333333336</v>
      </c>
      <c r="AZ34" s="107">
        <f>'Data entry'!$AU$3</f>
        <v>0.1</v>
      </c>
      <c r="BA34" s="432">
        <f>'future bses'!AI39</f>
        <v>0.04375</v>
      </c>
      <c r="BB34" s="107">
        <f>'Data entry'!$AV$3</f>
        <v>0.05</v>
      </c>
      <c r="BC34" s="43">
        <f t="shared" si="15"/>
        <v>0.06815613642125581</v>
      </c>
      <c r="BD34" s="44">
        <f t="shared" si="16"/>
        <v>44900</v>
      </c>
      <c r="BE34">
        <f t="shared" si="17"/>
        <v>1.5179540405624903E-06</v>
      </c>
    </row>
    <row r="35" spans="1:57" ht="12.75">
      <c r="A35" s="45"/>
      <c r="B35" s="287">
        <v>43</v>
      </c>
      <c r="C35" s="126">
        <f>'Data entry'!A43</f>
        <v>50</v>
      </c>
      <c r="D35" s="124">
        <f>'Data entry'!B43</f>
        <v>41</v>
      </c>
      <c r="E35" s="452" t="s">
        <v>1116</v>
      </c>
      <c r="F35" s="120" t="s">
        <v>778</v>
      </c>
      <c r="G35" s="129">
        <f>'Data entry'!E43</f>
        <v>222476</v>
      </c>
      <c r="H35" s="129">
        <f>'Data entry'!F43</f>
        <v>120385</v>
      </c>
      <c r="I35" s="129">
        <f>'Data entry'!G43</f>
        <v>102091</v>
      </c>
      <c r="J35" s="122">
        <f t="shared" si="0"/>
        <v>0.4588854528128877</v>
      </c>
      <c r="K35" s="127" t="str">
        <f>'Data entry'!I43</f>
        <v>Recycle pit</v>
      </c>
      <c r="L35" s="114" t="str">
        <f>'Data entry'!J43</f>
        <v>Lot number removed</v>
      </c>
      <c r="M35" s="114">
        <f>'Data entry'!K43</f>
        <v>0</v>
      </c>
      <c r="N35" s="457">
        <f>'Data entry'!T43</f>
        <v>0</v>
      </c>
      <c r="O35" s="123"/>
      <c r="P35" s="123"/>
      <c r="Q35" s="124">
        <v>2</v>
      </c>
      <c r="R35" s="114">
        <f>'Data entry'!O43</f>
        <v>5</v>
      </c>
      <c r="S35" s="114">
        <f>'Data entry'!P43</f>
        <v>0.2</v>
      </c>
      <c r="T35" s="448">
        <f>'current bses'!L43+'current bses'!O43</f>
        <v>7.875</v>
      </c>
      <c r="U35" s="461" t="str">
        <f>'Data entry'!I43</f>
        <v>Recycle pit</v>
      </c>
      <c r="V35" s="125">
        <f>'Data entry'!R43</f>
        <v>109</v>
      </c>
      <c r="W35" s="125">
        <f>'thorburn clases'!D43</f>
        <v>3</v>
      </c>
      <c r="X35" s="125">
        <f>'N movement slave'!G43</f>
        <v>174</v>
      </c>
      <c r="Y35" s="125">
        <f>'N movement slave'!H43</f>
        <v>1377</v>
      </c>
      <c r="Z35" s="125">
        <f>'N movement slave'!I43</f>
        <v>51.5</v>
      </c>
      <c r="AA35" s="125">
        <f>'N movement slave'!J43</f>
        <v>379</v>
      </c>
      <c r="AB35" s="125">
        <f>'N movement slave'!K43</f>
        <v>2</v>
      </c>
      <c r="AC35" s="107">
        <f t="shared" si="1"/>
        <v>0.97046875</v>
      </c>
      <c r="AD35" s="124">
        <f>'Data entry'!X43</f>
        <v>197.04425000000003</v>
      </c>
      <c r="AE35" s="124">
        <f>'Data entry'!Y43</f>
        <v>237.86100000000002</v>
      </c>
      <c r="AF35" s="36">
        <v>0.2</v>
      </c>
      <c r="AG35" s="35">
        <f t="shared" si="2"/>
        <v>85.19101709770116</v>
      </c>
      <c r="AH35" s="35">
        <f t="shared" si="3"/>
        <v>3.1847109195402306</v>
      </c>
      <c r="AI35" s="35">
        <f t="shared" si="4"/>
        <v>336.88220434653385</v>
      </c>
      <c r="AJ35" s="35">
        <f t="shared" si="5"/>
        <v>81.34882500000002</v>
      </c>
      <c r="AK35" s="35">
        <f t="shared" si="6"/>
        <v>3.0410775700934587</v>
      </c>
      <c r="AL35" s="35">
        <f t="shared" si="7"/>
        <v>321.68851154307833</v>
      </c>
      <c r="AM35" s="60">
        <f>'Data entry'!S43</f>
        <v>10.44</v>
      </c>
      <c r="AN35" s="59">
        <f t="shared" si="8"/>
        <v>16.35</v>
      </c>
      <c r="AO35" s="59">
        <f t="shared" si="9"/>
        <v>0.638532110091743</v>
      </c>
      <c r="AP35" s="107">
        <f t="shared" si="10"/>
        <v>0.28588838130319577</v>
      </c>
      <c r="AQ35" s="40">
        <f>IF(AM35=10.89,0.3,1)</f>
        <v>1</v>
      </c>
      <c r="AR35" s="38">
        <f t="shared" si="11"/>
        <v>96.31070809048299</v>
      </c>
      <c r="AS35" s="39">
        <v>5</v>
      </c>
      <c r="AT35" s="38">
        <f t="shared" si="12"/>
        <v>481.55354045241495</v>
      </c>
      <c r="AU35" s="41">
        <v>7460</v>
      </c>
      <c r="AV35" s="41">
        <v>401</v>
      </c>
      <c r="AW35" s="41">
        <f t="shared" si="13"/>
        <v>7861</v>
      </c>
      <c r="AX35" s="42">
        <f t="shared" si="14"/>
        <v>6.125856003719819E-05</v>
      </c>
      <c r="AY35" s="432">
        <f>'Verification score'!M43</f>
        <v>0.37625000000000003</v>
      </c>
      <c r="AZ35" s="107">
        <f>'Data entry'!$AU$3</f>
        <v>0.1</v>
      </c>
      <c r="BA35" s="432">
        <f>'future bses'!AI43</f>
        <v>0.010714285714285714</v>
      </c>
      <c r="BB35" s="107">
        <f>'Data entry'!$AV$3</f>
        <v>0.05</v>
      </c>
      <c r="BC35" s="43">
        <f t="shared" si="15"/>
        <v>0.006359746518718274</v>
      </c>
      <c r="BD35" s="44">
        <f t="shared" si="16"/>
        <v>102091</v>
      </c>
      <c r="BE35">
        <f t="shared" si="17"/>
        <v>6.229487926181812E-08</v>
      </c>
    </row>
    <row r="36" spans="1:58" ht="12.75">
      <c r="A36" s="45"/>
      <c r="B36" s="287">
        <v>44</v>
      </c>
      <c r="C36" s="126">
        <f>'Data entry'!A44</f>
        <v>51</v>
      </c>
      <c r="D36" s="124">
        <f>'Data entry'!B44</f>
        <v>42</v>
      </c>
      <c r="E36" s="452" t="s">
        <v>1116</v>
      </c>
      <c r="F36" s="120" t="s">
        <v>778</v>
      </c>
      <c r="G36" s="129">
        <f>'Data entry'!E44</f>
        <v>10000</v>
      </c>
      <c r="H36" s="129">
        <f>'Data entry'!F44</f>
        <v>5000</v>
      </c>
      <c r="I36" s="129">
        <f>'Data entry'!G44</f>
        <v>5000</v>
      </c>
      <c r="J36" s="122">
        <f t="shared" si="0"/>
        <v>0.5</v>
      </c>
      <c r="K36" s="127" t="str">
        <f>'Data entry'!I44</f>
        <v>Recycle pit</v>
      </c>
      <c r="L36" s="114" t="str">
        <f>'Data entry'!J44</f>
        <v>Lot number removed</v>
      </c>
      <c r="M36" s="114" t="str">
        <f>'Data entry'!K44</f>
        <v>Home Hill</v>
      </c>
      <c r="N36" s="457" t="str">
        <f>'Data entry'!T44</f>
        <v>changing effectiveness of water management, 50% improvement unless fertigation, 5 year capital ??</v>
      </c>
      <c r="O36" s="123"/>
      <c r="P36" s="123"/>
      <c r="Q36" s="124">
        <v>2</v>
      </c>
      <c r="R36" s="114">
        <f>'Data entry'!O44</f>
        <v>5</v>
      </c>
      <c r="S36" s="114">
        <f>'Data entry'!P44</f>
        <v>0</v>
      </c>
      <c r="T36" s="448">
        <f>'current bses'!L44+'current bses'!O44</f>
        <v>8.55</v>
      </c>
      <c r="U36" s="461" t="str">
        <f>'Data entry'!I44</f>
        <v>Recycle pit</v>
      </c>
      <c r="V36" s="125">
        <f>'Data entry'!R44</f>
        <v>3500</v>
      </c>
      <c r="W36" s="125">
        <f>'thorburn clases'!D44</f>
        <v>5</v>
      </c>
      <c r="X36" s="125">
        <f>'N movement slave'!G44</f>
        <v>305</v>
      </c>
      <c r="Y36" s="125">
        <f>'N movement slave'!H44</f>
        <v>1528</v>
      </c>
      <c r="Z36" s="125">
        <f>'N movement slave'!I44</f>
        <v>177</v>
      </c>
      <c r="AA36" s="125">
        <f>'N movement slave'!J44</f>
        <v>379</v>
      </c>
      <c r="AB36" s="125">
        <f>'N movement slave'!K44</f>
        <v>9</v>
      </c>
      <c r="AC36" s="107">
        <f t="shared" si="1"/>
        <v>0.9679375</v>
      </c>
      <c r="AD36" s="124">
        <f>'Data entry'!X44</f>
        <v>200</v>
      </c>
      <c r="AE36" s="124">
        <f>'Data entry'!Y44</f>
        <v>250</v>
      </c>
      <c r="AF36" s="36">
        <v>0.2</v>
      </c>
      <c r="AG36" s="35">
        <f t="shared" si="2"/>
        <v>176.7304918032787</v>
      </c>
      <c r="AH36" s="35">
        <f t="shared" si="3"/>
        <v>8.551475409836067</v>
      </c>
      <c r="AI36" s="35">
        <f t="shared" si="4"/>
        <v>28970.528053278696</v>
      </c>
      <c r="AJ36" s="35">
        <f t="shared" si="5"/>
        <v>153.5</v>
      </c>
      <c r="AK36" s="35">
        <f t="shared" si="6"/>
        <v>7.42741935483871</v>
      </c>
      <c r="AL36" s="35">
        <f t="shared" si="7"/>
        <v>25162.472026209678</v>
      </c>
      <c r="AM36" s="535">
        <v>10.89</v>
      </c>
      <c r="AN36" s="59">
        <f t="shared" si="8"/>
        <v>525</v>
      </c>
      <c r="AO36" s="59">
        <f t="shared" si="9"/>
        <v>0.020742857142857143</v>
      </c>
      <c r="AP36" s="107">
        <f t="shared" si="10"/>
        <v>0.051527541653030015</v>
      </c>
      <c r="AQ36" s="40">
        <f>'Data entry'!BE44</f>
        <v>0.02</v>
      </c>
      <c r="AR36" s="38">
        <f t="shared" si="11"/>
        <v>29.855601819511854</v>
      </c>
      <c r="AS36" s="39">
        <v>5</v>
      </c>
      <c r="AT36" s="38">
        <f t="shared" si="12"/>
        <v>149.27800909755928</v>
      </c>
      <c r="AU36" s="41">
        <v>7460</v>
      </c>
      <c r="AV36" s="41">
        <v>401</v>
      </c>
      <c r="AW36" s="41">
        <f t="shared" si="13"/>
        <v>7861</v>
      </c>
      <c r="AX36" s="42">
        <f t="shared" si="14"/>
        <v>1.898969712473722E-05</v>
      </c>
      <c r="AY36" s="432">
        <f>'Verification score'!M44</f>
        <v>0.5166666666666667</v>
      </c>
      <c r="AZ36" s="107">
        <f>'Data entry'!$AU$3</f>
        <v>0.1</v>
      </c>
      <c r="BA36" s="432">
        <f>'future bses'!AI44</f>
        <v>0.38785714285714284</v>
      </c>
      <c r="BB36" s="107">
        <f>'Data entry'!$AV$3</f>
        <v>0.05</v>
      </c>
      <c r="BC36" s="43">
        <f t="shared" si="15"/>
        <v>0.002035812295802365</v>
      </c>
      <c r="BD36" s="44">
        <f t="shared" si="16"/>
        <v>5000</v>
      </c>
      <c r="BE36">
        <f t="shared" si="17"/>
        <v>4.0716245916047296E-07</v>
      </c>
      <c r="BF36" t="s">
        <v>434</v>
      </c>
    </row>
    <row r="37" spans="1:57" ht="12.75">
      <c r="A37" s="45"/>
      <c r="B37" s="287">
        <v>48</v>
      </c>
      <c r="C37" s="126">
        <f>'Data entry'!A48</f>
        <v>54</v>
      </c>
      <c r="D37" s="124">
        <f>'Data entry'!B48</f>
        <v>46</v>
      </c>
      <c r="E37" s="452" t="s">
        <v>1116</v>
      </c>
      <c r="F37" s="120" t="s">
        <v>778</v>
      </c>
      <c r="G37" s="129">
        <f>'Data entry'!E48</f>
        <v>5000</v>
      </c>
      <c r="H37" s="129">
        <f>'Data entry'!F48</f>
        <v>0</v>
      </c>
      <c r="I37" s="129">
        <f>'Data entry'!G48</f>
        <v>5000</v>
      </c>
      <c r="J37" s="122">
        <f t="shared" si="0"/>
        <v>1</v>
      </c>
      <c r="K37" s="127" t="str">
        <f>'Data entry'!I48</f>
        <v>Recycle pit</v>
      </c>
      <c r="L37" s="114" t="str">
        <f>'Data entry'!J48</f>
        <v>Lot number removed</v>
      </c>
      <c r="M37" s="114">
        <f>'Data entry'!K48</f>
        <v>0</v>
      </c>
      <c r="N37" s="457">
        <f>'Data entry'!T48</f>
        <v>0</v>
      </c>
      <c r="O37" s="123"/>
      <c r="P37" s="123"/>
      <c r="Q37" s="124">
        <v>2</v>
      </c>
      <c r="R37" s="114">
        <f>'Data entry'!O48</f>
        <v>5</v>
      </c>
      <c r="S37" s="114">
        <f>'Data entry'!P48</f>
        <v>0.15</v>
      </c>
      <c r="T37" s="448">
        <f>'current bses'!L48+'current bses'!O48</f>
        <v>7.95</v>
      </c>
      <c r="U37" s="461" t="str">
        <f>'Data entry'!I48</f>
        <v>Recycle pit</v>
      </c>
      <c r="V37" s="125">
        <f>'Data entry'!R48</f>
        <v>20</v>
      </c>
      <c r="W37" s="125">
        <f>'thorburn clases'!D48</f>
        <v>3</v>
      </c>
      <c r="X37" s="125">
        <f>'N movement slave'!G48</f>
        <v>174</v>
      </c>
      <c r="Y37" s="125">
        <f>'N movement slave'!H48</f>
        <v>1585</v>
      </c>
      <c r="Z37" s="125">
        <f>'N movement slave'!I48</f>
        <v>78</v>
      </c>
      <c r="AA37" s="125">
        <f>'N movement slave'!J48</f>
        <v>311</v>
      </c>
      <c r="AB37" s="125">
        <f>'N movement slave'!K48</f>
        <v>2</v>
      </c>
      <c r="AC37" s="107">
        <f t="shared" si="1"/>
        <v>0.9701875</v>
      </c>
      <c r="AD37" s="124">
        <f>'Data entry'!X48</f>
        <v>199.065</v>
      </c>
      <c r="AE37" s="124">
        <f>'Data entry'!Y48</f>
        <v>227.24</v>
      </c>
      <c r="AF37" s="36">
        <v>0.2</v>
      </c>
      <c r="AG37" s="35">
        <f t="shared" si="2"/>
        <v>122.69103448275862</v>
      </c>
      <c r="AH37" s="35">
        <f t="shared" si="3"/>
        <v>3.0672758620689655</v>
      </c>
      <c r="AI37" s="35">
        <f t="shared" si="4"/>
        <v>59.51665400862069</v>
      </c>
      <c r="AJ37" s="35">
        <f t="shared" si="5"/>
        <v>103.80250000000001</v>
      </c>
      <c r="AK37" s="35">
        <f t="shared" si="6"/>
        <v>2.5950625</v>
      </c>
      <c r="AL37" s="35">
        <f t="shared" si="7"/>
        <v>50.353943984375</v>
      </c>
      <c r="AM37" s="60">
        <f>'Data entry'!S48</f>
        <v>6</v>
      </c>
      <c r="AN37" s="59">
        <f t="shared" si="8"/>
        <v>3</v>
      </c>
      <c r="AO37" s="59">
        <f t="shared" si="9"/>
        <v>2</v>
      </c>
      <c r="AP37" s="107">
        <f t="shared" si="10"/>
        <v>0.5059646004237847</v>
      </c>
      <c r="AQ37" s="40">
        <f>IF(AM37=10.89,0.3,1)</f>
        <v>1</v>
      </c>
      <c r="AR37" s="38">
        <f t="shared" si="11"/>
        <v>30.113320064032408</v>
      </c>
      <c r="AS37" s="39">
        <v>5</v>
      </c>
      <c r="AT37" s="38">
        <f t="shared" si="12"/>
        <v>150.56660032016202</v>
      </c>
      <c r="AU37" s="41">
        <v>7460</v>
      </c>
      <c r="AV37" s="41">
        <v>401</v>
      </c>
      <c r="AW37" s="41">
        <f t="shared" si="13"/>
        <v>7861</v>
      </c>
      <c r="AX37" s="42">
        <f t="shared" si="14"/>
        <v>1.91536191731538E-05</v>
      </c>
      <c r="AY37" s="432">
        <f>'Verification score'!M48</f>
        <v>0.22041666666666668</v>
      </c>
      <c r="AZ37" s="107">
        <f>'Data entry'!$AU$3</f>
        <v>0.1</v>
      </c>
      <c r="BA37" s="432">
        <f>'future bses'!AI48</f>
        <v>0.0057142857142857195</v>
      </c>
      <c r="BB37" s="107">
        <f>'Data entry'!$AV$3</f>
        <v>0.05</v>
      </c>
      <c r="BC37" s="43">
        <f t="shared" si="15"/>
        <v>0.0019581389947246567</v>
      </c>
      <c r="BD37" s="44">
        <f t="shared" si="16"/>
        <v>5000</v>
      </c>
      <c r="BE37">
        <f t="shared" si="17"/>
        <v>3.9162779894493135E-07</v>
      </c>
    </row>
    <row r="38" spans="1:57" ht="25.5">
      <c r="A38" s="45"/>
      <c r="B38" s="287">
        <v>50</v>
      </c>
      <c r="C38" s="126">
        <f>'Data entry'!A50</f>
        <v>61</v>
      </c>
      <c r="D38" s="124">
        <f>'Data entry'!B50</f>
        <v>48</v>
      </c>
      <c r="E38" s="452" t="s">
        <v>1116</v>
      </c>
      <c r="F38" s="120" t="s">
        <v>778</v>
      </c>
      <c r="G38" s="129">
        <f>'Data entry'!E50</f>
        <v>14000</v>
      </c>
      <c r="H38" s="129">
        <f>'Data entry'!F50</f>
        <v>9000</v>
      </c>
      <c r="I38" s="129">
        <f>'Data entry'!G50</f>
        <v>5000</v>
      </c>
      <c r="J38" s="122">
        <f t="shared" si="0"/>
        <v>0.35714285714285715</v>
      </c>
      <c r="K38" s="127" t="str">
        <f>'Data entry'!I50</f>
        <v>Recycle pit extension</v>
      </c>
      <c r="L38" s="114" t="str">
        <f>'Data entry'!J50</f>
        <v>Lot number removed</v>
      </c>
      <c r="M38" s="114">
        <f>'Data entry'!K50</f>
        <v>0</v>
      </c>
      <c r="N38" s="457" t="str">
        <f>'Data entry'!T50</f>
        <v>Recycle pit extension</v>
      </c>
      <c r="O38" s="123"/>
      <c r="P38" s="123"/>
      <c r="Q38" s="124">
        <v>2</v>
      </c>
      <c r="R38" s="114">
        <f>'Data entry'!O50</f>
        <v>5</v>
      </c>
      <c r="S38" s="114">
        <f>'Data entry'!P50</f>
        <v>0</v>
      </c>
      <c r="T38" s="448">
        <f>'current bses'!L50+'current bses'!O50</f>
        <v>19.8125</v>
      </c>
      <c r="U38" s="461" t="str">
        <f>'Data entry'!I50</f>
        <v>Recycle pit extension</v>
      </c>
      <c r="V38" s="125">
        <f>'Data entry'!R50</f>
        <v>60</v>
      </c>
      <c r="W38" s="125">
        <f>'thorburn clases'!D50</f>
        <v>1</v>
      </c>
      <c r="X38" s="125">
        <f>'N movement slave'!G60</f>
        <v>202</v>
      </c>
      <c r="Y38" s="125">
        <f>'N movement slave'!H60</f>
        <v>1510</v>
      </c>
      <c r="Z38" s="125">
        <f>'N movement slave'!I60</f>
        <v>87</v>
      </c>
      <c r="AA38" s="125">
        <f>'N movement slave'!J60</f>
        <v>358</v>
      </c>
      <c r="AB38" s="568">
        <f>'N movement slave'!K60</f>
        <v>3</v>
      </c>
      <c r="AC38" s="107">
        <f t="shared" si="1"/>
        <v>0.925703125</v>
      </c>
      <c r="AD38" s="124">
        <f>'Data entry'!X50</f>
        <v>140</v>
      </c>
      <c r="AE38" s="124">
        <f>'Data entry'!Y50</f>
        <v>180</v>
      </c>
      <c r="AF38" s="36">
        <v>0.2</v>
      </c>
      <c r="AG38" s="35">
        <f t="shared" si="2"/>
        <v>92.58415841584159</v>
      </c>
      <c r="AH38" s="35">
        <f t="shared" si="3"/>
        <v>3.0861386138613867</v>
      </c>
      <c r="AI38" s="35">
        <f t="shared" si="4"/>
        <v>171.41088954207922</v>
      </c>
      <c r="AJ38" s="35">
        <f t="shared" si="5"/>
        <v>75</v>
      </c>
      <c r="AK38" s="35">
        <f t="shared" si="6"/>
        <v>2.5</v>
      </c>
      <c r="AL38" s="35">
        <f t="shared" si="7"/>
        <v>138.85546875</v>
      </c>
      <c r="AM38" s="60">
        <f>'Data entry'!S50</f>
        <v>9</v>
      </c>
      <c r="AN38" s="59">
        <f t="shared" si="8"/>
        <v>9</v>
      </c>
      <c r="AO38" s="59">
        <f t="shared" si="9"/>
        <v>1</v>
      </c>
      <c r="AP38" s="107">
        <f t="shared" si="10"/>
        <v>0.357771</v>
      </c>
      <c r="AQ38" s="40">
        <f>'Data entry'!BQ50</f>
        <v>0.11755733298042392</v>
      </c>
      <c r="AR38" s="38">
        <f t="shared" si="11"/>
        <v>7.20930282356885</v>
      </c>
      <c r="AS38" s="39">
        <v>5</v>
      </c>
      <c r="AT38" s="38">
        <f t="shared" si="12"/>
        <v>36.04651411784425</v>
      </c>
      <c r="AU38" s="41">
        <v>7460</v>
      </c>
      <c r="AV38" s="41">
        <v>401</v>
      </c>
      <c r="AW38" s="41">
        <f t="shared" si="13"/>
        <v>7861</v>
      </c>
      <c r="AX38" s="42">
        <f t="shared" si="14"/>
        <v>4.585487103147723E-06</v>
      </c>
      <c r="AY38" s="432">
        <f>'Verification score'!M50</f>
        <v>0.11624999999999999</v>
      </c>
      <c r="AZ38" s="107">
        <f>'Data entry'!$AU$3</f>
        <v>0.1</v>
      </c>
      <c r="BA38" s="432">
        <f>'future bses'!AI50</f>
        <v>0.0010714285714285739</v>
      </c>
      <c r="BB38" s="107">
        <f>'Data entry'!$AV$3</f>
        <v>0.05</v>
      </c>
      <c r="BC38" s="43">
        <f t="shared" si="15"/>
        <v>0.0004639041897510604</v>
      </c>
      <c r="BD38" s="44">
        <f t="shared" si="16"/>
        <v>5000</v>
      </c>
      <c r="BE38">
        <f t="shared" si="17"/>
        <v>9.278083795021209E-08</v>
      </c>
    </row>
    <row r="39" spans="1:57" ht="12.75">
      <c r="A39" s="45"/>
      <c r="B39" s="287">
        <v>53</v>
      </c>
      <c r="C39" s="126">
        <f>'Data entry'!A53</f>
        <v>64</v>
      </c>
      <c r="D39" s="124">
        <f>'Data entry'!B53</f>
        <v>51</v>
      </c>
      <c r="E39" s="452" t="s">
        <v>1116</v>
      </c>
      <c r="F39" s="120" t="s">
        <v>778</v>
      </c>
      <c r="G39" s="129">
        <f>'Data entry'!E53</f>
        <v>250000</v>
      </c>
      <c r="H39" s="129">
        <f>'Data entry'!F53</f>
        <v>215000</v>
      </c>
      <c r="I39" s="129">
        <f>'Data entry'!G53</f>
        <v>35000</v>
      </c>
      <c r="J39" s="122">
        <f t="shared" si="0"/>
        <v>0.14</v>
      </c>
      <c r="K39" s="127" t="str">
        <f>'Data entry'!I53</f>
        <v>Recycle pit</v>
      </c>
      <c r="L39" s="114" t="str">
        <f>'Data entry'!J53</f>
        <v>Lot number removed</v>
      </c>
      <c r="M39" s="114">
        <f>'Data entry'!K53</f>
        <v>0</v>
      </c>
      <c r="N39" s="457">
        <f>'Data entry'!T53</f>
        <v>0</v>
      </c>
      <c r="O39" s="123"/>
      <c r="P39" s="123"/>
      <c r="Q39" s="124">
        <v>2</v>
      </c>
      <c r="R39" s="114">
        <f>'Data entry'!O53</f>
        <v>5</v>
      </c>
      <c r="S39" s="114">
        <f>'Data entry'!P53</f>
        <v>0</v>
      </c>
      <c r="T39" s="126">
        <f>'current bses'!L53+'current bses'!O53</f>
        <v>0</v>
      </c>
      <c r="U39" s="461" t="str">
        <f>'Data entry'!I53</f>
        <v>Recycle pit</v>
      </c>
      <c r="V39" s="125">
        <f>'Data entry'!R53</f>
        <v>400</v>
      </c>
      <c r="W39" s="125">
        <f>'thorburn clases'!D53</f>
        <v>1</v>
      </c>
      <c r="X39" s="125">
        <f>'N movement slave'!G53</f>
        <v>67</v>
      </c>
      <c r="Y39" s="125">
        <f>'N movement slave'!H53</f>
        <v>579</v>
      </c>
      <c r="Z39" s="125">
        <f>'N movement slave'!I53</f>
        <v>5</v>
      </c>
      <c r="AA39" s="125">
        <f>'N movement slave'!J53</f>
        <v>1149</v>
      </c>
      <c r="AB39" s="568">
        <f>'N movement slave'!K53</f>
        <v>1</v>
      </c>
      <c r="AC39" s="107">
        <f t="shared" si="1"/>
        <v>1</v>
      </c>
      <c r="AD39" s="124">
        <v>220</v>
      </c>
      <c r="AE39" s="124">
        <v>220</v>
      </c>
      <c r="AF39" s="36">
        <v>0.2</v>
      </c>
      <c r="AG39" s="35">
        <f t="shared" si="2"/>
        <v>23.623880597014928</v>
      </c>
      <c r="AH39" s="35">
        <f t="shared" si="3"/>
        <v>3.9373134328358215</v>
      </c>
      <c r="AI39" s="35">
        <f t="shared" si="4"/>
        <v>1574.9253731343285</v>
      </c>
      <c r="AJ39" s="35">
        <f t="shared" si="5"/>
        <v>82.5</v>
      </c>
      <c r="AK39" s="35">
        <f t="shared" si="6"/>
        <v>13.75</v>
      </c>
      <c r="AL39" s="35">
        <f t="shared" si="7"/>
        <v>5500</v>
      </c>
      <c r="AM39" s="60">
        <f>'Data entry'!S53</f>
        <v>160</v>
      </c>
      <c r="AN39" s="59">
        <f t="shared" si="8"/>
        <v>60</v>
      </c>
      <c r="AO39" s="59">
        <f t="shared" si="9"/>
        <v>2.6666666666666665</v>
      </c>
      <c r="AP39" s="107">
        <f t="shared" si="10"/>
        <v>0.5842375965101869</v>
      </c>
      <c r="AQ39" s="40">
        <f>IF(AM39=10.89,0.3,1)</f>
        <v>1</v>
      </c>
      <c r="AR39" s="38">
        <f t="shared" si="11"/>
        <v>920.1306146829094</v>
      </c>
      <c r="AS39" s="39">
        <v>5</v>
      </c>
      <c r="AT39" s="38">
        <f t="shared" si="12"/>
        <v>4600.653073414547</v>
      </c>
      <c r="AU39" s="41">
        <v>7460</v>
      </c>
      <c r="AV39" s="41">
        <v>401</v>
      </c>
      <c r="AW39" s="41">
        <f t="shared" si="13"/>
        <v>7861</v>
      </c>
      <c r="AX39" s="42">
        <f t="shared" si="14"/>
        <v>0.0005852503591673511</v>
      </c>
      <c r="AY39" s="432">
        <f>'Verification score'!M53</f>
        <v>0.22333333333333333</v>
      </c>
      <c r="AZ39" s="107">
        <f>'Data entry'!$AU$3</f>
        <v>0.1</v>
      </c>
      <c r="BA39" s="432">
        <f>'future bses'!AI53</f>
        <v>0.0021428571428571477</v>
      </c>
      <c r="BB39" s="107">
        <f>'Data entry'!$AV$3</f>
        <v>0.05</v>
      </c>
      <c r="BC39" s="43">
        <f t="shared" si="15"/>
        <v>0.0598385056338216</v>
      </c>
      <c r="BD39" s="44">
        <f t="shared" si="16"/>
        <v>35000</v>
      </c>
      <c r="BE39">
        <f t="shared" si="17"/>
        <v>1.70967158953776E-06</v>
      </c>
    </row>
    <row r="40" spans="1:57" ht="12.75">
      <c r="A40" s="45"/>
      <c r="B40" s="287">
        <v>54</v>
      </c>
      <c r="C40" s="126">
        <f>'Data entry'!A54</f>
        <v>66</v>
      </c>
      <c r="D40" s="124">
        <f>'Data entry'!B54</f>
        <v>52</v>
      </c>
      <c r="E40" s="452" t="s">
        <v>1116</v>
      </c>
      <c r="F40" s="120" t="s">
        <v>778</v>
      </c>
      <c r="G40" s="129">
        <f>'Data entry'!E54</f>
        <v>12400</v>
      </c>
      <c r="H40" s="129">
        <f>'Data entry'!F54</f>
        <v>4000</v>
      </c>
      <c r="I40" s="129">
        <f>'Data entry'!G54</f>
        <v>8400</v>
      </c>
      <c r="J40" s="122">
        <f t="shared" si="0"/>
        <v>0.6774193548387096</v>
      </c>
      <c r="K40" s="127" t="str">
        <f>'Data entry'!I54</f>
        <v>Recycle pit</v>
      </c>
      <c r="L40" s="114" t="str">
        <f>'Data entry'!J54</f>
        <v>Lot number removed</v>
      </c>
      <c r="M40" s="114">
        <f>'Data entry'!K54</f>
        <v>0</v>
      </c>
      <c r="N40" s="457">
        <f>'Data entry'!T54</f>
        <v>0</v>
      </c>
      <c r="O40" s="123"/>
      <c r="P40" s="123"/>
      <c r="Q40" s="124">
        <v>2</v>
      </c>
      <c r="R40" s="114">
        <f>'Data entry'!O54</f>
        <v>5</v>
      </c>
      <c r="S40" s="114">
        <f>'Data entry'!P54</f>
        <v>0</v>
      </c>
      <c r="T40" s="448">
        <f>'current bses'!L54+'current bses'!O54</f>
        <v>29.375</v>
      </c>
      <c r="U40" s="461" t="str">
        <f>'Data entry'!I54</f>
        <v>Recycle pit</v>
      </c>
      <c r="V40" s="125">
        <f>'Data entry'!R54</f>
        <v>90</v>
      </c>
      <c r="W40" s="125">
        <f>'thorburn clases'!D54</f>
        <v>3</v>
      </c>
      <c r="X40" s="125">
        <f>'N movement slave'!G31</f>
        <v>305</v>
      </c>
      <c r="Y40" s="125">
        <f>'N movement slave'!H31</f>
        <v>437</v>
      </c>
      <c r="Z40" s="125">
        <f>'N movement slave'!I31</f>
        <v>40</v>
      </c>
      <c r="AA40" s="125">
        <f>'N movement slave'!J31</f>
        <v>1276</v>
      </c>
      <c r="AB40" s="568">
        <f>'N movement slave'!K31</f>
        <v>59</v>
      </c>
      <c r="AC40" s="107">
        <f t="shared" si="1"/>
        <v>0.88984375</v>
      </c>
      <c r="AD40" s="124">
        <f>'Data entry'!X54</f>
        <v>142.025</v>
      </c>
      <c r="AE40" s="124">
        <f>'Data entry'!Y54</f>
        <v>227.24</v>
      </c>
      <c r="AF40" s="36">
        <v>0.2</v>
      </c>
      <c r="AG40" s="35">
        <f t="shared" si="2"/>
        <v>82.91493442622952</v>
      </c>
      <c r="AH40" s="35">
        <f t="shared" si="3"/>
        <v>49.41395081967214</v>
      </c>
      <c r="AI40" s="35">
        <f t="shared" si="4"/>
        <v>3957.3625769723367</v>
      </c>
      <c r="AJ40" s="35">
        <f t="shared" si="5"/>
        <v>51.598500000000016</v>
      </c>
      <c r="AK40" s="35">
        <f t="shared" si="6"/>
        <v>30.75062121212122</v>
      </c>
      <c r="AL40" s="35">
        <f t="shared" si="7"/>
        <v>2462.6923284801146</v>
      </c>
      <c r="AM40" s="60">
        <f>'Data entry'!S54</f>
        <v>5</v>
      </c>
      <c r="AN40" s="59">
        <f t="shared" si="8"/>
        <v>13.499999999999998</v>
      </c>
      <c r="AO40" s="59">
        <f t="shared" si="9"/>
        <v>0.3703703703703704</v>
      </c>
      <c r="AP40" s="107">
        <f t="shared" si="10"/>
        <v>0.217732496801312</v>
      </c>
      <c r="AQ40" s="40">
        <f>IF(AM40=10.89,0.3,1)</f>
        <v>1</v>
      </c>
      <c r="AR40" s="38">
        <f t="shared" si="11"/>
        <v>861.646434632261</v>
      </c>
      <c r="AS40" s="39">
        <v>5</v>
      </c>
      <c r="AT40" s="38">
        <f t="shared" si="12"/>
        <v>4308.232173161306</v>
      </c>
      <c r="AU40" s="41">
        <v>7460</v>
      </c>
      <c r="AV40" s="41">
        <v>401</v>
      </c>
      <c r="AW40" s="41">
        <f t="shared" si="13"/>
        <v>7861</v>
      </c>
      <c r="AX40" s="42">
        <f t="shared" si="14"/>
        <v>0.0005480514149804486</v>
      </c>
      <c r="AY40" s="432">
        <f>'Verification score'!M54</f>
        <v>0.35083333333333333</v>
      </c>
      <c r="AZ40" s="107">
        <f>'Data entry'!$AU$3</f>
        <v>0.1</v>
      </c>
      <c r="BA40" s="432">
        <f>'future bses'!AI54</f>
        <v>0.009285714285714286</v>
      </c>
      <c r="BB40" s="107">
        <f>'Data entry'!$AV$3</f>
        <v>0.05</v>
      </c>
      <c r="BC40" s="43">
        <f t="shared" si="15"/>
        <v>0.056754226493854594</v>
      </c>
      <c r="BD40" s="44">
        <f t="shared" si="16"/>
        <v>8400</v>
      </c>
      <c r="BE40">
        <f t="shared" si="17"/>
        <v>6.75645553498269E-06</v>
      </c>
    </row>
    <row r="41" spans="1:57" ht="12.75">
      <c r="A41" s="45"/>
      <c r="B41" s="287">
        <v>55</v>
      </c>
      <c r="C41" s="126">
        <f>'Data entry'!A55</f>
        <v>69</v>
      </c>
      <c r="D41" s="124">
        <f>'Data entry'!B55</f>
        <v>53</v>
      </c>
      <c r="E41" s="452" t="s">
        <v>1116</v>
      </c>
      <c r="F41" s="120" t="s">
        <v>778</v>
      </c>
      <c r="G41" s="129">
        <f>'Data entry'!E55</f>
        <v>50000</v>
      </c>
      <c r="H41" s="129">
        <f>'Data entry'!F55</f>
        <v>20000</v>
      </c>
      <c r="I41" s="129">
        <f>'Data entry'!G55</f>
        <v>30000</v>
      </c>
      <c r="J41" s="122">
        <f t="shared" si="0"/>
        <v>0.6</v>
      </c>
      <c r="K41" s="127" t="str">
        <f>'Data entry'!I55</f>
        <v>Recycle Pit</v>
      </c>
      <c r="L41" s="114" t="str">
        <f>'Data entry'!J55</f>
        <v>Lot number removed</v>
      </c>
      <c r="M41" s="114">
        <f>'Data entry'!K55</f>
        <v>0</v>
      </c>
      <c r="N41" s="457">
        <f>'Data entry'!T55</f>
        <v>0</v>
      </c>
      <c r="O41" s="123"/>
      <c r="P41" s="123"/>
      <c r="Q41" s="124">
        <v>2</v>
      </c>
      <c r="R41" s="114">
        <f>'Data entry'!O55</f>
        <v>5</v>
      </c>
      <c r="S41" s="114">
        <f>'Data entry'!P55</f>
        <v>0</v>
      </c>
      <c r="T41" s="448">
        <f>'current bses'!L55+'current bses'!O55</f>
        <v>14.875</v>
      </c>
      <c r="U41" s="461" t="str">
        <f>'Data entry'!I55</f>
        <v>Recycle Pit</v>
      </c>
      <c r="V41" s="125">
        <f>'Data entry'!R55</f>
        <v>121</v>
      </c>
      <c r="W41" s="125">
        <f>'thorburn clases'!D55</f>
        <v>3</v>
      </c>
      <c r="X41" s="125">
        <f>'N movement slave'!G55</f>
        <v>174</v>
      </c>
      <c r="Y41" s="125">
        <f>'N movement slave'!H55</f>
        <v>1585</v>
      </c>
      <c r="Z41" s="125">
        <f>'N movement slave'!I55</f>
        <v>78</v>
      </c>
      <c r="AA41" s="125">
        <f>'N movement slave'!J55</f>
        <v>311</v>
      </c>
      <c r="AB41" s="568">
        <f>'N movement slave'!K55</f>
        <v>2</v>
      </c>
      <c r="AC41" s="107">
        <f t="shared" si="1"/>
        <v>0.94421875</v>
      </c>
      <c r="AD41" s="124">
        <f>'Data entry'!X55</f>
        <v>265.21625</v>
      </c>
      <c r="AE41" s="124">
        <f>'Data entry'!Y55</f>
        <v>220.75625</v>
      </c>
      <c r="AF41" s="36">
        <v>0.2</v>
      </c>
      <c r="AG41" s="35">
        <f t="shared" si="2"/>
        <v>125.79287356321838</v>
      </c>
      <c r="AH41" s="35">
        <f t="shared" si="3"/>
        <v>3.1448218390804596</v>
      </c>
      <c r="AI41" s="35">
        <f t="shared" si="4"/>
        <v>359.2973692501796</v>
      </c>
      <c r="AJ41" s="35">
        <f t="shared" si="5"/>
        <v>107.82412500000001</v>
      </c>
      <c r="AK41" s="35">
        <f t="shared" si="6"/>
        <v>2.6956031250000003</v>
      </c>
      <c r="AL41" s="35">
        <f t="shared" si="7"/>
        <v>307.9739205952149</v>
      </c>
      <c r="AM41" s="60">
        <f>'Data entry'!S55</f>
        <v>7</v>
      </c>
      <c r="AN41" s="59">
        <f t="shared" si="8"/>
        <v>18.15</v>
      </c>
      <c r="AO41" s="59">
        <f t="shared" si="9"/>
        <v>0.3856749311294766</v>
      </c>
      <c r="AP41" s="107">
        <f t="shared" si="10"/>
        <v>0.22218556499928072</v>
      </c>
      <c r="AQ41" s="40">
        <f>IF(AM41=10.89,0.3,1)</f>
        <v>1</v>
      </c>
      <c r="AR41" s="38">
        <f t="shared" si="11"/>
        <v>79.83068898960634</v>
      </c>
      <c r="AS41" s="39">
        <v>5</v>
      </c>
      <c r="AT41" s="38">
        <f t="shared" si="12"/>
        <v>399.15344494803173</v>
      </c>
      <c r="AU41" s="41">
        <v>7460</v>
      </c>
      <c r="AV41" s="41">
        <v>401</v>
      </c>
      <c r="AW41" s="41">
        <f t="shared" si="13"/>
        <v>7861</v>
      </c>
      <c r="AX41" s="42">
        <f t="shared" si="14"/>
        <v>5.077642093220096E-05</v>
      </c>
      <c r="AY41" s="432">
        <f>'Verification score'!M55</f>
        <v>0.3154166666666666</v>
      </c>
      <c r="AZ41" s="107">
        <f>'Data entry'!$AU$3</f>
        <v>0.1</v>
      </c>
      <c r="BA41" s="432">
        <f>'future bses'!AI55</f>
        <v>0.008392857142857148</v>
      </c>
      <c r="BB41" s="107">
        <f>'Data entry'!$AV$3</f>
        <v>0.05</v>
      </c>
      <c r="BC41" s="43">
        <f t="shared" si="15"/>
        <v>0.005239997392677223</v>
      </c>
      <c r="BD41" s="44">
        <f t="shared" si="16"/>
        <v>30000</v>
      </c>
      <c r="BE41">
        <f t="shared" si="17"/>
        <v>1.7466657975590744E-07</v>
      </c>
    </row>
    <row r="42" spans="1:57" ht="25.5">
      <c r="A42" s="45"/>
      <c r="B42" s="287">
        <v>56</v>
      </c>
      <c r="C42" s="126" t="str">
        <f>'Data entry'!A56</f>
        <v>70a</v>
      </c>
      <c r="D42" s="124">
        <f>'Data entry'!B56</f>
        <v>54</v>
      </c>
      <c r="E42" s="452" t="s">
        <v>1116</v>
      </c>
      <c r="F42" s="120" t="s">
        <v>778</v>
      </c>
      <c r="G42" s="129">
        <f>'Data entry'!E56</f>
        <v>24250</v>
      </c>
      <c r="H42" s="129">
        <f>'Data entry'!F56</f>
        <v>13120</v>
      </c>
      <c r="I42" s="129">
        <f>'Data entry'!G56</f>
        <v>11130</v>
      </c>
      <c r="J42" s="122">
        <f t="shared" si="0"/>
        <v>0.4589690721649485</v>
      </c>
      <c r="K42" s="127" t="str">
        <f>'Data entry'!I56</f>
        <v>extension of recycling system</v>
      </c>
      <c r="L42" s="114" t="str">
        <f>'Data entry'!J56</f>
        <v>Lot number removed</v>
      </c>
      <c r="M42" s="114" t="str">
        <f>'Data entry'!K56</f>
        <v>Home Hill</v>
      </c>
      <c r="N42" s="457" t="str">
        <f>'Data entry'!T56</f>
        <v>extension of recycling system</v>
      </c>
      <c r="O42" s="123"/>
      <c r="P42" s="123"/>
      <c r="Q42" s="124">
        <v>2</v>
      </c>
      <c r="R42" s="114">
        <f>'Data entry'!O56</f>
        <v>5</v>
      </c>
      <c r="S42" s="114">
        <f>'Data entry'!P56</f>
        <v>0</v>
      </c>
      <c r="T42" s="448">
        <f>'current bses'!L56+'current bses'!O56</f>
        <v>22.35</v>
      </c>
      <c r="U42" s="461" t="str">
        <f>'Data entry'!I56</f>
        <v>extension of recycling system</v>
      </c>
      <c r="V42" s="125">
        <v>50</v>
      </c>
      <c r="W42" s="125">
        <f>'thorburn clases'!D56</f>
        <v>2</v>
      </c>
      <c r="X42" s="125">
        <f>'N movement slave'!G56</f>
        <v>136</v>
      </c>
      <c r="Y42" s="125">
        <f>'N movement slave'!H56</f>
        <v>1605</v>
      </c>
      <c r="Z42" s="125">
        <f>'N movement slave'!I56</f>
        <v>47</v>
      </c>
      <c r="AA42" s="125">
        <f>'N movement slave'!J56</f>
        <v>310</v>
      </c>
      <c r="AB42" s="568">
        <f>'N movement slave'!K56</f>
        <v>2</v>
      </c>
      <c r="AC42" s="107">
        <f t="shared" si="1"/>
        <v>0.9161875</v>
      </c>
      <c r="AD42" s="124">
        <f>'Data entry'!X56</f>
        <v>239.46</v>
      </c>
      <c r="AE42" s="124">
        <f>'Data entry'!Y56</f>
        <v>205.8</v>
      </c>
      <c r="AF42" s="36">
        <v>0.2</v>
      </c>
      <c r="AG42" s="35">
        <f t="shared" si="2"/>
        <v>91.33167647058823</v>
      </c>
      <c r="AH42" s="35">
        <f t="shared" si="3"/>
        <v>3.7278235294117645</v>
      </c>
      <c r="AI42" s="35">
        <f t="shared" si="4"/>
        <v>170.76926599264706</v>
      </c>
      <c r="AJ42" s="35">
        <f t="shared" si="5"/>
        <v>87.266</v>
      </c>
      <c r="AK42" s="35">
        <f t="shared" si="6"/>
        <v>3.5618775510204084</v>
      </c>
      <c r="AL42" s="35">
        <f t="shared" si="7"/>
        <v>163.16738443877554</v>
      </c>
      <c r="AM42" s="535">
        <v>10.89</v>
      </c>
      <c r="AN42" s="59">
        <f t="shared" si="8"/>
        <v>7.5</v>
      </c>
      <c r="AO42" s="59">
        <f t="shared" si="9"/>
        <v>1.4520000000000002</v>
      </c>
      <c r="AP42" s="107">
        <f t="shared" si="10"/>
        <v>0.4311103436665978</v>
      </c>
      <c r="AQ42" s="40">
        <f>'Data entry'!BE56</f>
        <v>0.2</v>
      </c>
      <c r="AR42" s="38">
        <f t="shared" si="11"/>
        <v>14.724079389956547</v>
      </c>
      <c r="AS42" s="39">
        <v>5</v>
      </c>
      <c r="AT42" s="38">
        <f t="shared" si="12"/>
        <v>73.62039694978273</v>
      </c>
      <c r="AU42" s="41">
        <v>7460</v>
      </c>
      <c r="AV42" s="41">
        <v>401</v>
      </c>
      <c r="AW42" s="41">
        <f t="shared" si="13"/>
        <v>7861</v>
      </c>
      <c r="AX42" s="42">
        <f t="shared" si="14"/>
        <v>9.365271205925802E-06</v>
      </c>
      <c r="AY42" s="432">
        <f>'Verification score'!M56</f>
        <v>0.5108333333333334</v>
      </c>
      <c r="AZ42" s="107">
        <f>'Data entry'!$AU$3</f>
        <v>0.1</v>
      </c>
      <c r="BA42" s="432">
        <f>'future bses'!AI56</f>
        <v>0.0066428571428571405</v>
      </c>
      <c r="BB42" s="107">
        <f>'Data entry'!$AV$3</f>
        <v>0.05</v>
      </c>
      <c r="BC42" s="43">
        <f t="shared" si="15"/>
        <v>0.000984694998485351</v>
      </c>
      <c r="BD42" s="44">
        <f t="shared" si="16"/>
        <v>11130</v>
      </c>
      <c r="BE42">
        <f t="shared" si="17"/>
        <v>8.847214721341878E-08</v>
      </c>
    </row>
    <row r="43" spans="1:57" ht="12.75">
      <c r="A43" s="45"/>
      <c r="B43" s="287">
        <v>59</v>
      </c>
      <c r="C43" s="126">
        <f>'Data entry'!A59</f>
        <v>72</v>
      </c>
      <c r="D43" s="124">
        <f>'Data entry'!B59</f>
        <v>57</v>
      </c>
      <c r="E43" s="452" t="s">
        <v>1116</v>
      </c>
      <c r="F43" s="120" t="s">
        <v>778</v>
      </c>
      <c r="G43" s="129">
        <f>'Data entry'!E59</f>
        <v>40000</v>
      </c>
      <c r="H43" s="129">
        <f>'Data entry'!F59</f>
        <v>20000</v>
      </c>
      <c r="I43" s="129">
        <f>'Data entry'!G59</f>
        <v>20000</v>
      </c>
      <c r="J43" s="122">
        <f t="shared" si="0"/>
        <v>0.5</v>
      </c>
      <c r="K43" s="127" t="str">
        <f>'Data entry'!I59</f>
        <v>Recycle pit</v>
      </c>
      <c r="L43" s="114" t="str">
        <f>'Data entry'!J59</f>
        <v>Lot number removed</v>
      </c>
      <c r="M43" s="114">
        <f>'Data entry'!K59</f>
        <v>0</v>
      </c>
      <c r="N43" s="457">
        <f>'Data entry'!T59</f>
        <v>0</v>
      </c>
      <c r="O43" s="123"/>
      <c r="P43" s="123"/>
      <c r="Q43" s="124">
        <v>2</v>
      </c>
      <c r="R43" s="114">
        <f>'Data entry'!O59</f>
        <v>5</v>
      </c>
      <c r="S43" s="114">
        <f>'Data entry'!P59</f>
        <v>0</v>
      </c>
      <c r="T43" s="448">
        <f>'current bses'!L59+'current bses'!O59</f>
        <v>9.95</v>
      </c>
      <c r="U43" s="461" t="str">
        <f>'Data entry'!I59</f>
        <v>Recycle pit</v>
      </c>
      <c r="V43" s="125">
        <f>'Data entry'!R59</f>
        <v>215</v>
      </c>
      <c r="W43" s="125">
        <f>'thorburn clases'!D59</f>
        <v>2</v>
      </c>
      <c r="X43" s="125">
        <f>'N movement slave'!G59</f>
        <v>136</v>
      </c>
      <c r="Y43" s="125">
        <f>'N movement slave'!H59</f>
        <v>1605</v>
      </c>
      <c r="Z43" s="125">
        <f>'N movement slave'!I59</f>
        <v>47</v>
      </c>
      <c r="AA43" s="125">
        <f>'N movement slave'!J59</f>
        <v>310</v>
      </c>
      <c r="AB43" s="568">
        <f>'N movement slave'!K59</f>
        <v>2</v>
      </c>
      <c r="AC43" s="107">
        <f t="shared" si="1"/>
        <v>0.9626875</v>
      </c>
      <c r="AD43" s="124">
        <f>'Data entry'!X59</f>
        <v>308.50300000000004</v>
      </c>
      <c r="AE43" s="124">
        <f>'Data entry'!Y59</f>
        <v>198.2175</v>
      </c>
      <c r="AF43" s="36">
        <v>0.2</v>
      </c>
      <c r="AG43" s="35">
        <f t="shared" si="2"/>
        <v>93.57490367647058</v>
      </c>
      <c r="AH43" s="35">
        <f t="shared" si="3"/>
        <v>3.8193838235294115</v>
      </c>
      <c r="AI43" s="35">
        <f t="shared" si="4"/>
        <v>790.5277088920036</v>
      </c>
      <c r="AJ43" s="35">
        <f t="shared" si="5"/>
        <v>91.13730000000001</v>
      </c>
      <c r="AK43" s="35">
        <f t="shared" si="6"/>
        <v>3.719889795918368</v>
      </c>
      <c r="AL43" s="35">
        <f t="shared" si="7"/>
        <v>769.9346527002552</v>
      </c>
      <c r="AM43" s="60">
        <f>'Data entry'!S59</f>
        <v>10</v>
      </c>
      <c r="AN43" s="59">
        <f t="shared" si="8"/>
        <v>32.25</v>
      </c>
      <c r="AO43" s="59">
        <f t="shared" si="9"/>
        <v>0.31007751937984496</v>
      </c>
      <c r="AP43" s="107">
        <f t="shared" si="10"/>
        <v>0.19922336686289097</v>
      </c>
      <c r="AQ43" s="40">
        <f>IF(AM43=10.89,0.3,1)</f>
        <v>1</v>
      </c>
      <c r="AR43" s="38">
        <f t="shared" si="11"/>
        <v>157.4915917638723</v>
      </c>
      <c r="AS43" s="39">
        <v>5</v>
      </c>
      <c r="AT43" s="38">
        <f t="shared" si="12"/>
        <v>787.4579588193615</v>
      </c>
      <c r="AU43" s="41">
        <v>7460</v>
      </c>
      <c r="AV43" s="41">
        <v>401</v>
      </c>
      <c r="AW43" s="41">
        <f t="shared" si="13"/>
        <v>7861</v>
      </c>
      <c r="AX43" s="42">
        <f t="shared" si="14"/>
        <v>0.00010017274631972541</v>
      </c>
      <c r="AY43" s="432">
        <f>'Verification score'!M59</f>
        <v>0.5445833333333333</v>
      </c>
      <c r="AZ43" s="107">
        <f>'Data entry'!$AU$3</f>
        <v>0.1</v>
      </c>
      <c r="BA43" s="432">
        <f>'future bses'!AI59</f>
        <v>0.39125000000000004</v>
      </c>
      <c r="BB43" s="107">
        <f>'Data entry'!$AV$3</f>
        <v>0.05</v>
      </c>
      <c r="BC43" s="43">
        <f t="shared" si="15"/>
        <v>0.01076943346279456</v>
      </c>
      <c r="BD43" s="44">
        <f t="shared" si="16"/>
        <v>20000</v>
      </c>
      <c r="BE43">
        <f t="shared" si="17"/>
        <v>5.38471673139728E-07</v>
      </c>
    </row>
    <row r="44" spans="1:57" ht="25.5">
      <c r="A44" s="45"/>
      <c r="B44" s="287">
        <v>60</v>
      </c>
      <c r="C44" s="126">
        <f>'Data entry'!A60</f>
        <v>73</v>
      </c>
      <c r="D44" s="124">
        <f>'Data entry'!B60</f>
        <v>58</v>
      </c>
      <c r="E44" s="452" t="s">
        <v>1116</v>
      </c>
      <c r="F44" s="120" t="s">
        <v>778</v>
      </c>
      <c r="G44" s="129">
        <f>'Data entry'!E60</f>
        <v>6000</v>
      </c>
      <c r="H44" s="129">
        <f>'Data entry'!F60</f>
        <v>3000</v>
      </c>
      <c r="I44" s="129">
        <f>'Data entry'!G60</f>
        <v>3000</v>
      </c>
      <c r="J44" s="122">
        <f t="shared" si="0"/>
        <v>0.5</v>
      </c>
      <c r="K44" s="127" t="str">
        <f>'Data entry'!I60</f>
        <v>Recycle pit extension</v>
      </c>
      <c r="L44" s="114" t="str">
        <f>'Data entry'!J60</f>
        <v>Lot number removed</v>
      </c>
      <c r="M44" s="114">
        <f>'Data entry'!K60</f>
        <v>0</v>
      </c>
      <c r="N44" s="457" t="str">
        <f>'Data entry'!T60</f>
        <v>Recycle pit extension</v>
      </c>
      <c r="O44" s="123"/>
      <c r="P44" s="123"/>
      <c r="Q44" s="124">
        <v>2</v>
      </c>
      <c r="R44" s="114">
        <f>'Data entry'!O60</f>
        <v>5</v>
      </c>
      <c r="S44" s="114">
        <f>'Data entry'!P60</f>
        <v>0</v>
      </c>
      <c r="T44" s="448">
        <f>'current bses'!L60+'current bses'!O60</f>
        <v>2.95</v>
      </c>
      <c r="U44" s="461" t="str">
        <f>'Data entry'!I60</f>
        <v>Recycle pit extension</v>
      </c>
      <c r="V44" s="125">
        <f>'Data entry'!R60</f>
        <v>80</v>
      </c>
      <c r="W44" s="125">
        <f>'thorburn clases'!D60</f>
        <v>4</v>
      </c>
      <c r="X44" s="125">
        <f>'N movement slave'!G60</f>
        <v>202</v>
      </c>
      <c r="Y44" s="125">
        <f>'N movement slave'!H60</f>
        <v>1510</v>
      </c>
      <c r="Z44" s="125">
        <f>'N movement slave'!I60</f>
        <v>87</v>
      </c>
      <c r="AA44" s="125">
        <f>'N movement slave'!J60</f>
        <v>358</v>
      </c>
      <c r="AB44" s="568">
        <f>'N movement slave'!K60</f>
        <v>3</v>
      </c>
      <c r="AC44" s="107">
        <f t="shared" si="1"/>
        <v>0.9889375</v>
      </c>
      <c r="AD44" s="124">
        <f>'Data entry'!X60</f>
        <v>131.25</v>
      </c>
      <c r="AE44" s="124">
        <f>'Data entry'!Y60</f>
        <v>102.5</v>
      </c>
      <c r="AF44" s="36">
        <v>0.2</v>
      </c>
      <c r="AG44" s="35">
        <f t="shared" si="2"/>
        <v>57.27475247524753</v>
      </c>
      <c r="AH44" s="35">
        <f t="shared" si="3"/>
        <v>1.9091584158415844</v>
      </c>
      <c r="AI44" s="35">
        <f t="shared" si="4"/>
        <v>151.04306806930697</v>
      </c>
      <c r="AJ44" s="35">
        <f t="shared" si="5"/>
        <v>43.125</v>
      </c>
      <c r="AK44" s="35">
        <f t="shared" si="6"/>
        <v>1.4375</v>
      </c>
      <c r="AL44" s="35">
        <f t="shared" si="7"/>
        <v>113.7278125</v>
      </c>
      <c r="AM44" s="60">
        <f>'Data entry'!S60</f>
        <v>3</v>
      </c>
      <c r="AN44" s="59">
        <f t="shared" si="8"/>
        <v>12</v>
      </c>
      <c r="AO44" s="59">
        <f t="shared" si="9"/>
        <v>0.25</v>
      </c>
      <c r="AP44" s="107">
        <f t="shared" si="10"/>
        <v>0.1788855</v>
      </c>
      <c r="AQ44" s="40">
        <f>'Data entry'!BQ60</f>
        <v>0.13862943611198897</v>
      </c>
      <c r="AR44" s="38">
        <f t="shared" si="11"/>
        <v>3.745686231299874</v>
      </c>
      <c r="AS44" s="39">
        <v>5</v>
      </c>
      <c r="AT44" s="38">
        <f t="shared" si="12"/>
        <v>18.72843115649937</v>
      </c>
      <c r="AU44" s="41">
        <v>7460</v>
      </c>
      <c r="AV44" s="41">
        <v>401</v>
      </c>
      <c r="AW44" s="41">
        <f t="shared" si="13"/>
        <v>7861</v>
      </c>
      <c r="AX44" s="42">
        <f t="shared" si="14"/>
        <v>2.3824489449814744E-06</v>
      </c>
      <c r="AY44" s="432">
        <f>'Verification score'!M60</f>
        <v>0.5862499999999999</v>
      </c>
      <c r="AZ44" s="107">
        <f>'Data entry'!$AU$3</f>
        <v>0.1</v>
      </c>
      <c r="BA44" s="432">
        <f>'future bses'!AI60</f>
        <v>0.0021428571428571477</v>
      </c>
      <c r="BB44" s="107">
        <f>'Data entry'!$AV$3</f>
        <v>0.05</v>
      </c>
      <c r="BC44" s="43">
        <f t="shared" si="15"/>
        <v>0.0002522390241525411</v>
      </c>
      <c r="BD44" s="44">
        <f t="shared" si="16"/>
        <v>3000</v>
      </c>
      <c r="BE44">
        <f t="shared" si="17"/>
        <v>8.40796747175137E-08</v>
      </c>
    </row>
    <row r="45" spans="1:57" ht="25.5">
      <c r="A45" s="45"/>
      <c r="B45" s="287">
        <v>63</v>
      </c>
      <c r="C45" s="126">
        <f>'Data entry'!A63</f>
        <v>77</v>
      </c>
      <c r="D45" s="124">
        <f>'Data entry'!B63</f>
        <v>61</v>
      </c>
      <c r="E45" s="452" t="s">
        <v>1116</v>
      </c>
      <c r="F45" s="120" t="s">
        <v>778</v>
      </c>
      <c r="G45" s="129">
        <f>'Data entry'!E63</f>
        <v>20000</v>
      </c>
      <c r="H45" s="129">
        <f>'Data entry'!F63</f>
        <v>5000</v>
      </c>
      <c r="I45" s="129">
        <f>'Data entry'!G63</f>
        <v>15000</v>
      </c>
      <c r="J45" s="122">
        <f t="shared" si="0"/>
        <v>0.75</v>
      </c>
      <c r="K45" s="127" t="str">
        <f>'Data entry'!I63</f>
        <v>Recycle Pit upgrade</v>
      </c>
      <c r="L45" s="114" t="str">
        <f>'Data entry'!J63</f>
        <v>Lot number removed</v>
      </c>
      <c r="M45" s="114">
        <f>'Data entry'!K63</f>
        <v>0</v>
      </c>
      <c r="N45" s="457" t="str">
        <f>'Data entry'!T63</f>
        <v>extension of effectiveness of recycle pit</v>
      </c>
      <c r="O45" s="123"/>
      <c r="P45" s="123"/>
      <c r="Q45" s="124">
        <v>2</v>
      </c>
      <c r="R45" s="114">
        <f>'Data entry'!O63</f>
        <v>5</v>
      </c>
      <c r="S45" s="114">
        <f>'Data entry'!P63</f>
        <v>0.05</v>
      </c>
      <c r="T45" s="448">
        <f>'current bses'!L63+'current bses'!O63</f>
        <v>4.05</v>
      </c>
      <c r="U45" s="461" t="str">
        <f>'Data entry'!I63</f>
        <v>Recycle Pit upgrade</v>
      </c>
      <c r="V45" s="125">
        <f>'Data entry'!R63</f>
        <v>49</v>
      </c>
      <c r="W45" s="125">
        <f>'thorburn clases'!D63</f>
        <v>3</v>
      </c>
      <c r="X45" s="125">
        <f>'N movement slave'!G63</f>
        <v>174</v>
      </c>
      <c r="Y45" s="125">
        <f>'N movement slave'!H63</f>
        <v>1585</v>
      </c>
      <c r="Z45" s="125">
        <f>'N movement slave'!I63</f>
        <v>78</v>
      </c>
      <c r="AA45" s="125">
        <f>'N movement slave'!J63</f>
        <v>311</v>
      </c>
      <c r="AB45" s="568">
        <f>'N movement slave'!K63</f>
        <v>2</v>
      </c>
      <c r="AC45" s="107">
        <f t="shared" si="1"/>
        <v>0.9848125</v>
      </c>
      <c r="AD45" s="124">
        <f>'Data entry'!X63</f>
        <v>198.835</v>
      </c>
      <c r="AE45" s="124">
        <f>'Data entry'!Y63</f>
        <v>227.24</v>
      </c>
      <c r="AF45" s="36">
        <v>0.2</v>
      </c>
      <c r="AG45" s="35">
        <f t="shared" si="2"/>
        <v>122.66988505747128</v>
      </c>
      <c r="AH45" s="35">
        <f t="shared" si="3"/>
        <v>3.066747126436782</v>
      </c>
      <c r="AI45" s="35">
        <f t="shared" si="4"/>
        <v>147.98837431824714</v>
      </c>
      <c r="AJ45" s="35">
        <f t="shared" si="5"/>
        <v>103.77950000000001</v>
      </c>
      <c r="AK45" s="35">
        <f t="shared" si="6"/>
        <v>2.5944875000000005</v>
      </c>
      <c r="AL45" s="35">
        <f t="shared" si="7"/>
        <v>125.19910233359377</v>
      </c>
      <c r="AM45" s="60">
        <f>'Data entry'!S63</f>
        <v>60</v>
      </c>
      <c r="AN45" s="59">
        <f t="shared" si="8"/>
        <v>7.35</v>
      </c>
      <c r="AO45" s="59">
        <f t="shared" si="9"/>
        <v>8.16326530612245</v>
      </c>
      <c r="AP45" s="107">
        <f t="shared" si="10"/>
        <v>0.8</v>
      </c>
      <c r="AQ45" s="40">
        <f>'Data entry'!BE63</f>
        <v>0.5</v>
      </c>
      <c r="AR45" s="38">
        <f t="shared" si="11"/>
        <v>59.19534972729886</v>
      </c>
      <c r="AS45" s="39">
        <v>5</v>
      </c>
      <c r="AT45" s="38">
        <f t="shared" si="12"/>
        <v>295.97674863649434</v>
      </c>
      <c r="AU45" s="41">
        <v>7460</v>
      </c>
      <c r="AV45" s="41">
        <v>401</v>
      </c>
      <c r="AW45" s="41">
        <f t="shared" si="13"/>
        <v>7861</v>
      </c>
      <c r="AX45" s="42">
        <f t="shared" si="14"/>
        <v>3.7651284650361824E-05</v>
      </c>
      <c r="AY45" s="432">
        <f>'Verification score'!M63</f>
        <v>0.25958333333333333</v>
      </c>
      <c r="AZ45" s="107">
        <f>'Data entry'!$AU$3</f>
        <v>0.1</v>
      </c>
      <c r="BA45" s="432">
        <f>'future bses'!AI63</f>
        <v>0.08732142857142858</v>
      </c>
      <c r="BB45" s="107">
        <f>'Data entry'!$AV$3</f>
        <v>0.05</v>
      </c>
      <c r="BC45" s="43">
        <f t="shared" si="15"/>
        <v>0.003879730468954901</v>
      </c>
      <c r="BD45" s="44">
        <f t="shared" si="16"/>
        <v>15000</v>
      </c>
      <c r="BE45">
        <f t="shared" si="17"/>
        <v>2.586486979303267E-07</v>
      </c>
    </row>
    <row r="46" spans="1:57" ht="12.75">
      <c r="A46" s="45"/>
      <c r="B46" s="287">
        <v>68</v>
      </c>
      <c r="C46" s="126" t="str">
        <f>'Data entry'!A68</f>
        <v>85a</v>
      </c>
      <c r="D46" s="124">
        <f>'Data entry'!B68</f>
        <v>66</v>
      </c>
      <c r="E46" s="452" t="s">
        <v>1116</v>
      </c>
      <c r="F46" s="120" t="s">
        <v>778</v>
      </c>
      <c r="G46" s="129">
        <f>'Data entry'!E68</f>
        <v>62698</v>
      </c>
      <c r="H46" s="129">
        <f>'Data entry'!F68</f>
        <v>21250</v>
      </c>
      <c r="I46" s="129">
        <f>'Data entry'!G68</f>
        <v>41448</v>
      </c>
      <c r="J46" s="122">
        <f t="shared" si="0"/>
        <v>0.661073718459919</v>
      </c>
      <c r="K46" s="127" t="str">
        <f>'Data entry'!I68</f>
        <v>Recycle pit</v>
      </c>
      <c r="L46" s="114" t="str">
        <f>'Data entry'!J68</f>
        <v>Lot number removed</v>
      </c>
      <c r="M46" s="114" t="str">
        <f>'Data entry'!K68</f>
        <v>Ayr</v>
      </c>
      <c r="N46" s="457">
        <f>'Data entry'!T68</f>
        <v>0</v>
      </c>
      <c r="O46" s="123"/>
      <c r="P46" s="123"/>
      <c r="Q46" s="124">
        <v>2</v>
      </c>
      <c r="R46" s="114">
        <f>'Data entry'!O68</f>
        <v>5</v>
      </c>
      <c r="S46" s="114">
        <f>'Data entry'!P68</f>
        <v>0</v>
      </c>
      <c r="T46" s="448">
        <f>'current bses'!L68+'current bses'!O68</f>
        <v>8.9</v>
      </c>
      <c r="U46" s="461" t="str">
        <f>'Data entry'!I68</f>
        <v>Recycle pit</v>
      </c>
      <c r="V46" s="125">
        <f>'Data entry'!R68</f>
        <v>65</v>
      </c>
      <c r="W46" s="125">
        <f>'thorburn clases'!D68</f>
        <v>2</v>
      </c>
      <c r="X46" s="125">
        <f>'N movement slave'!G68</f>
        <v>136</v>
      </c>
      <c r="Y46" s="125">
        <f>'N movement slave'!H68</f>
        <v>1605</v>
      </c>
      <c r="Z46" s="125">
        <f>'N movement slave'!I68</f>
        <v>47</v>
      </c>
      <c r="AA46" s="125">
        <f>'N movement slave'!J68</f>
        <v>310</v>
      </c>
      <c r="AB46" s="568">
        <f>'N movement slave'!K68</f>
        <v>2</v>
      </c>
      <c r="AC46" s="107">
        <f t="shared" si="1"/>
        <v>0.966625</v>
      </c>
      <c r="AD46" s="124">
        <f>'Data entry'!X68</f>
        <v>142.025</v>
      </c>
      <c r="AE46" s="124">
        <f>'Data entry'!Y68</f>
        <v>170.43</v>
      </c>
      <c r="AF46" s="36">
        <v>0.2</v>
      </c>
      <c r="AG46" s="35">
        <f t="shared" si="2"/>
        <v>71.56702205882354</v>
      </c>
      <c r="AH46" s="35">
        <f t="shared" si="3"/>
        <v>2.921102941176471</v>
      </c>
      <c r="AI46" s="35">
        <f t="shared" si="4"/>
        <v>183.53472348345588</v>
      </c>
      <c r="AJ46" s="35">
        <f t="shared" si="5"/>
        <v>63.37450000000001</v>
      </c>
      <c r="AK46" s="35">
        <f t="shared" si="6"/>
        <v>2.586714285714286</v>
      </c>
      <c r="AL46" s="35">
        <f t="shared" si="7"/>
        <v>162.52487526785717</v>
      </c>
      <c r="AM46" s="60">
        <f>'Data entry'!S68</f>
        <v>3</v>
      </c>
      <c r="AN46" s="59">
        <f t="shared" si="8"/>
        <v>9.75</v>
      </c>
      <c r="AO46" s="59">
        <f t="shared" si="9"/>
        <v>0.3076923076923077</v>
      </c>
      <c r="AP46" s="107">
        <f t="shared" si="10"/>
        <v>0.19845564390369647</v>
      </c>
      <c r="AQ46" s="40">
        <f>IF(AM46=10.89,0.3,1)</f>
        <v>1</v>
      </c>
      <c r="AR46" s="38">
        <f t="shared" si="11"/>
        <v>36.42350172759612</v>
      </c>
      <c r="AS46" s="39">
        <v>5</v>
      </c>
      <c r="AT46" s="38">
        <f t="shared" si="12"/>
        <v>182.1175086379806</v>
      </c>
      <c r="AU46" s="41">
        <v>7460</v>
      </c>
      <c r="AV46" s="41">
        <v>401</v>
      </c>
      <c r="AW46" s="41">
        <f t="shared" si="13"/>
        <v>7861</v>
      </c>
      <c r="AX46" s="42">
        <f t="shared" si="14"/>
        <v>2.3167219010047145E-05</v>
      </c>
      <c r="AY46" s="432">
        <f>'Verification score'!M68</f>
        <v>0.3625</v>
      </c>
      <c r="AZ46" s="107">
        <f>'Data entry'!$AU$3</f>
        <v>0.1</v>
      </c>
      <c r="BA46" s="432">
        <f>'future bses'!AI68</f>
        <v>0.07928571428571429</v>
      </c>
      <c r="BB46" s="107">
        <f>'Data entry'!$AV$3</f>
        <v>0.05</v>
      </c>
      <c r="BC46" s="43">
        <f t="shared" si="15"/>
        <v>0.0024102201428004453</v>
      </c>
      <c r="BD46" s="44">
        <f t="shared" si="16"/>
        <v>41448</v>
      </c>
      <c r="BE46">
        <f t="shared" si="17"/>
        <v>5.815045702568146E-08</v>
      </c>
    </row>
    <row r="47" spans="1:57" ht="12.75">
      <c r="A47" s="45"/>
      <c r="B47" s="287">
        <v>69</v>
      </c>
      <c r="C47" s="126" t="str">
        <f>'Data entry'!A69</f>
        <v>85b</v>
      </c>
      <c r="D47" s="124">
        <f>'Data entry'!B69</f>
        <v>67</v>
      </c>
      <c r="E47" s="452" t="s">
        <v>1116</v>
      </c>
      <c r="F47" s="120" t="s">
        <v>778</v>
      </c>
      <c r="G47" s="129">
        <f>'Data entry'!E69</f>
        <v>77440</v>
      </c>
      <c r="H47" s="129">
        <f>'Data entry'!F69</f>
        <v>40000</v>
      </c>
      <c r="I47" s="129">
        <f>'Data entry'!G69</f>
        <v>37440</v>
      </c>
      <c r="J47" s="122">
        <f t="shared" si="0"/>
        <v>0.4834710743801653</v>
      </c>
      <c r="K47" s="127" t="str">
        <f>'Data entry'!I69</f>
        <v>Recycle pit</v>
      </c>
      <c r="L47" s="114" t="str">
        <f>'Data entry'!J69</f>
        <v>Lot number removed</v>
      </c>
      <c r="M47" s="114" t="str">
        <f>'Data entry'!K69</f>
        <v>Ayr</v>
      </c>
      <c r="N47" s="457">
        <f>'Data entry'!T69</f>
        <v>0</v>
      </c>
      <c r="O47" s="123"/>
      <c r="P47" s="123"/>
      <c r="Q47" s="124">
        <v>2</v>
      </c>
      <c r="R47" s="114">
        <f>'Data entry'!O69</f>
        <v>5</v>
      </c>
      <c r="S47" s="114">
        <f>'Data entry'!P69</f>
        <v>0</v>
      </c>
      <c r="T47" s="448">
        <f>'current bses'!L69+'current bses'!O69</f>
        <v>8.9</v>
      </c>
      <c r="U47" s="461" t="str">
        <f>'Data entry'!I69</f>
        <v>Recycle pit</v>
      </c>
      <c r="V47" s="125">
        <f>'Data entry'!R69</f>
        <v>23</v>
      </c>
      <c r="W47" s="125">
        <f>'thorburn clases'!D69</f>
        <v>2</v>
      </c>
      <c r="X47" s="125">
        <f>'N movement slave'!G69</f>
        <v>136</v>
      </c>
      <c r="Y47" s="125">
        <f>'N movement slave'!H69</f>
        <v>1605</v>
      </c>
      <c r="Z47" s="125">
        <f>'N movement slave'!I69</f>
        <v>47</v>
      </c>
      <c r="AA47" s="125">
        <f>'N movement slave'!J69</f>
        <v>310</v>
      </c>
      <c r="AB47" s="568">
        <f>'N movement slave'!K69</f>
        <v>2</v>
      </c>
      <c r="AC47" s="107">
        <f t="shared" si="1"/>
        <v>0.966625</v>
      </c>
      <c r="AD47" s="124">
        <f>'Data entry'!X69</f>
        <v>142.025</v>
      </c>
      <c r="AE47" s="124">
        <f>'Data entry'!Y69</f>
        <v>170.43</v>
      </c>
      <c r="AF47" s="36">
        <v>0.2</v>
      </c>
      <c r="AG47" s="35">
        <f t="shared" si="2"/>
        <v>71.56702205882354</v>
      </c>
      <c r="AH47" s="35">
        <f t="shared" si="3"/>
        <v>2.921102941176471</v>
      </c>
      <c r="AI47" s="35">
        <f t="shared" si="4"/>
        <v>64.94305600183823</v>
      </c>
      <c r="AJ47" s="35">
        <f t="shared" si="5"/>
        <v>63.37450000000001</v>
      </c>
      <c r="AK47" s="35">
        <f t="shared" si="6"/>
        <v>2.586714285714286</v>
      </c>
      <c r="AL47" s="35">
        <f t="shared" si="7"/>
        <v>57.50880201785716</v>
      </c>
      <c r="AM47" s="60">
        <f>'Data entry'!S69</f>
        <v>1.38</v>
      </c>
      <c r="AN47" s="59">
        <f t="shared" si="8"/>
        <v>3.4499999999999997</v>
      </c>
      <c r="AO47" s="59">
        <f t="shared" si="9"/>
        <v>0.4</v>
      </c>
      <c r="AP47" s="107">
        <f t="shared" si="10"/>
        <v>0.22627424815122027</v>
      </c>
      <c r="AQ47" s="40">
        <f>IF(AM47=10.89,0.3,1)</f>
        <v>1</v>
      </c>
      <c r="AR47" s="38">
        <f t="shared" si="11"/>
        <v>14.694941169458538</v>
      </c>
      <c r="AS47" s="39">
        <v>5</v>
      </c>
      <c r="AT47" s="38">
        <f t="shared" si="12"/>
        <v>73.47470584729268</v>
      </c>
      <c r="AU47" s="41">
        <v>7460</v>
      </c>
      <c r="AV47" s="41">
        <v>401</v>
      </c>
      <c r="AW47" s="41">
        <f t="shared" si="13"/>
        <v>7861</v>
      </c>
      <c r="AX47" s="42">
        <f t="shared" si="14"/>
        <v>9.346737800189885E-06</v>
      </c>
      <c r="AY47" s="432">
        <f>'Verification score'!M69</f>
        <v>0.3625</v>
      </c>
      <c r="AZ47" s="107">
        <f>'Data entry'!$AU$3</f>
        <v>0.1</v>
      </c>
      <c r="BA47" s="432">
        <f>'future bses'!AI69</f>
        <v>0.07928571428571429</v>
      </c>
      <c r="BB47" s="107">
        <f>'Data entry'!$AV$3</f>
        <v>0.05</v>
      </c>
      <c r="BC47" s="43">
        <f t="shared" si="15"/>
        <v>0.0009723953360876931</v>
      </c>
      <c r="BD47" s="44">
        <f t="shared" si="16"/>
        <v>37440</v>
      </c>
      <c r="BE47">
        <f t="shared" si="17"/>
        <v>2.5972097651914878E-08</v>
      </c>
    </row>
    <row r="48" spans="1:57" ht="12.75">
      <c r="A48" s="45"/>
      <c r="B48" s="287">
        <v>70</v>
      </c>
      <c r="C48" s="126">
        <f>'Data entry'!A70</f>
        <v>87</v>
      </c>
      <c r="D48" s="124">
        <f>'Data entry'!B70</f>
        <v>68</v>
      </c>
      <c r="E48" s="452" t="s">
        <v>1116</v>
      </c>
      <c r="F48" s="120" t="s">
        <v>778</v>
      </c>
      <c r="G48" s="129">
        <f>'Data entry'!E70</f>
        <v>20000</v>
      </c>
      <c r="H48" s="129">
        <f>'Data entry'!F70</f>
        <v>10000</v>
      </c>
      <c r="I48" s="129">
        <f>'Data entry'!G70</f>
        <v>10000</v>
      </c>
      <c r="J48" s="122">
        <f t="shared" si="0"/>
        <v>0.5</v>
      </c>
      <c r="K48" s="127" t="str">
        <f>'Data entry'!I70</f>
        <v>Recycle pit</v>
      </c>
      <c r="L48" s="114" t="str">
        <f>'Data entry'!J70</f>
        <v>Lot number removed</v>
      </c>
      <c r="M48" s="114">
        <f>'Data entry'!K70</f>
        <v>0</v>
      </c>
      <c r="N48" s="457">
        <f>'Data entry'!T70</f>
        <v>0</v>
      </c>
      <c r="O48" s="123"/>
      <c r="P48" s="123"/>
      <c r="Q48" s="124">
        <v>2</v>
      </c>
      <c r="R48" s="114">
        <f>'Data entry'!O70</f>
        <v>5</v>
      </c>
      <c r="S48" s="114">
        <f>'Data entry'!P70</f>
        <v>0</v>
      </c>
      <c r="T48" s="448">
        <f>'current bses'!L70+'current bses'!O70</f>
        <v>4.95</v>
      </c>
      <c r="U48" s="461" t="str">
        <f>'Data entry'!I70</f>
        <v>Recycle pit</v>
      </c>
      <c r="V48" s="125">
        <f>'Data entry'!R70</f>
        <v>142</v>
      </c>
      <c r="W48" s="125">
        <f>'thorburn clases'!D70</f>
        <v>2</v>
      </c>
      <c r="X48" s="125">
        <f>'N movement slave'!G70</f>
        <v>136</v>
      </c>
      <c r="Y48" s="125">
        <f>'N movement slave'!H70</f>
        <v>1605</v>
      </c>
      <c r="Z48" s="125">
        <f>'N movement slave'!I70</f>
        <v>47</v>
      </c>
      <c r="AA48" s="125">
        <f>'N movement slave'!J70</f>
        <v>310</v>
      </c>
      <c r="AB48" s="568">
        <f>'N movement slave'!K70</f>
        <v>2</v>
      </c>
      <c r="AC48" s="107">
        <f t="shared" si="1"/>
        <v>0.9814375</v>
      </c>
      <c r="AD48" s="124">
        <f>'Data entry'!X70</f>
        <v>142.025</v>
      </c>
      <c r="AE48" s="124">
        <f>'Data entry'!Y70</f>
        <v>92.5</v>
      </c>
      <c r="AF48" s="36">
        <v>0.2</v>
      </c>
      <c r="AG48" s="35">
        <f t="shared" si="2"/>
        <v>43.48930147058824</v>
      </c>
      <c r="AH48" s="35">
        <f t="shared" si="3"/>
        <v>1.7750735294117648</v>
      </c>
      <c r="AI48" s="35">
        <f t="shared" si="4"/>
        <v>247.38156923713234</v>
      </c>
      <c r="AJ48" s="35">
        <f t="shared" si="5"/>
        <v>32.2025</v>
      </c>
      <c r="AK48" s="35">
        <f t="shared" si="6"/>
        <v>1.3143877551020409</v>
      </c>
      <c r="AL48" s="35">
        <f t="shared" si="7"/>
        <v>183.1784994005102</v>
      </c>
      <c r="AM48" s="60">
        <f>'Data entry'!S70</f>
        <v>4.68</v>
      </c>
      <c r="AN48" s="59">
        <f t="shared" si="8"/>
        <v>21.3</v>
      </c>
      <c r="AO48" s="59">
        <f t="shared" si="9"/>
        <v>0.21971830985915491</v>
      </c>
      <c r="AP48" s="107">
        <f t="shared" si="10"/>
        <v>0.16770200682782205</v>
      </c>
      <c r="AQ48" s="40">
        <f>IF(AM48=10.89,0.3,1)</f>
        <v>1</v>
      </c>
      <c r="AR48" s="38">
        <f t="shared" si="11"/>
        <v>41.4863856132829</v>
      </c>
      <c r="AS48" s="39">
        <v>5</v>
      </c>
      <c r="AT48" s="38">
        <f t="shared" si="12"/>
        <v>207.43192806641449</v>
      </c>
      <c r="AU48" s="41">
        <v>7460</v>
      </c>
      <c r="AV48" s="41">
        <v>401</v>
      </c>
      <c r="AW48" s="41">
        <f t="shared" si="13"/>
        <v>7861</v>
      </c>
      <c r="AX48" s="42">
        <f t="shared" si="14"/>
        <v>2.638747335789524E-05</v>
      </c>
      <c r="AY48" s="432">
        <f>'Verification score'!M70</f>
        <v>0.13125</v>
      </c>
      <c r="AZ48" s="107">
        <f>'Data entry'!$AU$3</f>
        <v>0.1</v>
      </c>
      <c r="BA48" s="432">
        <f>'future bses'!AI70</f>
        <v>0.0057142857142857195</v>
      </c>
      <c r="BB48" s="107">
        <f>'Data entry'!$AV$3</f>
        <v>0.05</v>
      </c>
      <c r="BC48" s="43">
        <f t="shared" si="15"/>
        <v>0.0026741447176844963</v>
      </c>
      <c r="BD48" s="44">
        <f t="shared" si="16"/>
        <v>10000</v>
      </c>
      <c r="BE48">
        <f t="shared" si="17"/>
        <v>2.6741447176844963E-07</v>
      </c>
    </row>
    <row r="49" spans="1:57" ht="12.75">
      <c r="A49" s="45"/>
      <c r="B49" s="287">
        <v>72</v>
      </c>
      <c r="C49" s="126">
        <f>'Data entry'!A72</f>
        <v>89</v>
      </c>
      <c r="D49" s="124">
        <f>'Data entry'!B72</f>
        <v>70</v>
      </c>
      <c r="E49" s="452" t="s">
        <v>1116</v>
      </c>
      <c r="F49" s="120" t="s">
        <v>778</v>
      </c>
      <c r="G49" s="129">
        <f>'Data entry'!E72</f>
        <v>55000</v>
      </c>
      <c r="H49" s="129">
        <f>'Data entry'!F72</f>
        <v>5000</v>
      </c>
      <c r="I49" s="129">
        <f>'Data entry'!G72</f>
        <v>50000</v>
      </c>
      <c r="J49" s="122">
        <f t="shared" si="0"/>
        <v>0.9090909090909091</v>
      </c>
      <c r="K49" s="127" t="str">
        <f>'Data entry'!I72</f>
        <v>Recycle pit</v>
      </c>
      <c r="L49" s="114" t="str">
        <f>'Data entry'!J72</f>
        <v>Lot number removed</v>
      </c>
      <c r="M49" s="114">
        <f>'Data entry'!K72</f>
        <v>0</v>
      </c>
      <c r="N49" s="457">
        <f>'Data entry'!T72</f>
        <v>0</v>
      </c>
      <c r="O49" s="123"/>
      <c r="P49" s="123"/>
      <c r="Q49" s="124">
        <v>2</v>
      </c>
      <c r="R49" s="114">
        <f>'Data entry'!O72</f>
        <v>5</v>
      </c>
      <c r="S49" s="114">
        <f>'Data entry'!P72</f>
        <v>0.5</v>
      </c>
      <c r="T49" s="448">
        <f>'current bses'!L72+'current bses'!O72</f>
        <v>9.825</v>
      </c>
      <c r="U49" s="461" t="str">
        <f>'Data entry'!I72</f>
        <v>Recycle pit</v>
      </c>
      <c r="V49" s="125">
        <f>'Data entry'!R72</f>
        <v>134</v>
      </c>
      <c r="W49" s="125">
        <f>'thorburn clases'!D72</f>
        <v>3</v>
      </c>
      <c r="X49" s="125">
        <f>'N movement slave'!G72</f>
        <v>174</v>
      </c>
      <c r="Y49" s="125">
        <f>'N movement slave'!H72</f>
        <v>1585</v>
      </c>
      <c r="Z49" s="125">
        <f>'N movement slave'!I72</f>
        <v>78</v>
      </c>
      <c r="AA49" s="125">
        <f>'N movement slave'!J72</f>
        <v>311</v>
      </c>
      <c r="AB49" s="568">
        <f>'N movement slave'!K72</f>
        <v>2</v>
      </c>
      <c r="AC49" s="107">
        <f t="shared" si="1"/>
        <v>0.96315625</v>
      </c>
      <c r="AD49" s="124">
        <f>'Data entry'!X72</f>
        <v>212.91400000000002</v>
      </c>
      <c r="AE49" s="124">
        <f>'Data entry'!Y72</f>
        <v>226.93125</v>
      </c>
      <c r="AF49" s="36">
        <v>0.2</v>
      </c>
      <c r="AG49" s="35">
        <f t="shared" si="2"/>
        <v>123.82255172413792</v>
      </c>
      <c r="AH49" s="35">
        <f t="shared" si="3"/>
        <v>3.095563793103448</v>
      </c>
      <c r="AI49" s="35">
        <f t="shared" si="4"/>
        <v>399.5225563565733</v>
      </c>
      <c r="AJ49" s="35">
        <f t="shared" si="5"/>
        <v>105.06390000000002</v>
      </c>
      <c r="AK49" s="35">
        <f t="shared" si="6"/>
        <v>2.6265975000000004</v>
      </c>
      <c r="AL49" s="35">
        <f t="shared" si="7"/>
        <v>338.9963889801563</v>
      </c>
      <c r="AM49" s="60">
        <f>'Data entry'!S72</f>
        <v>2</v>
      </c>
      <c r="AN49" s="59">
        <f t="shared" si="8"/>
        <v>20.099999999999998</v>
      </c>
      <c r="AO49" s="59">
        <f t="shared" si="9"/>
        <v>0.09950248756218906</v>
      </c>
      <c r="AP49" s="107">
        <f t="shared" si="10"/>
        <v>0.11285533752578875</v>
      </c>
      <c r="AQ49" s="40">
        <f>IF(AM49=10.89,0.3,1)</f>
        <v>1</v>
      </c>
      <c r="AR49" s="38">
        <f t="shared" si="11"/>
        <v>45.08825294678704</v>
      </c>
      <c r="AS49" s="39">
        <v>5</v>
      </c>
      <c r="AT49" s="38">
        <f t="shared" si="12"/>
        <v>225.44126473393518</v>
      </c>
      <c r="AU49" s="41">
        <v>7460</v>
      </c>
      <c r="AV49" s="41">
        <v>401</v>
      </c>
      <c r="AW49" s="41">
        <f t="shared" si="13"/>
        <v>7861</v>
      </c>
      <c r="AX49" s="42">
        <f t="shared" si="14"/>
        <v>2.867844609260084E-05</v>
      </c>
      <c r="AY49" s="432">
        <f>'Verification score'!M72</f>
        <v>0.2604166666666667</v>
      </c>
      <c r="AZ49" s="107">
        <f>'Data entry'!$AU$3</f>
        <v>0.1</v>
      </c>
      <c r="BA49" s="432">
        <f>'future bses'!AI72</f>
        <v>0.0021428571428571477</v>
      </c>
      <c r="BB49" s="107">
        <f>'Data entry'!$AV$3</f>
        <v>0.05</v>
      </c>
      <c r="BC49" s="43">
        <f t="shared" si="15"/>
        <v>0.0029428433334900846</v>
      </c>
      <c r="BD49" s="44">
        <f t="shared" si="16"/>
        <v>50000</v>
      </c>
      <c r="BE49">
        <f t="shared" si="17"/>
        <v>5.885686666980169E-08</v>
      </c>
    </row>
    <row r="50" spans="1:57" ht="12.75">
      <c r="A50" s="45"/>
      <c r="B50" s="287">
        <v>77</v>
      </c>
      <c r="C50" s="126" t="str">
        <f>'Data entry'!A77</f>
        <v>94a</v>
      </c>
      <c r="D50" s="124">
        <f>'Data entry'!B77</f>
        <v>75</v>
      </c>
      <c r="E50" s="452" t="s">
        <v>1116</v>
      </c>
      <c r="F50" s="120" t="s">
        <v>778</v>
      </c>
      <c r="G50" s="129">
        <f>'Data entry'!E77</f>
        <v>57000</v>
      </c>
      <c r="H50" s="129">
        <f>'Data entry'!F77</f>
        <v>22800</v>
      </c>
      <c r="I50" s="129">
        <f>'Data entry'!G77</f>
        <v>34200</v>
      </c>
      <c r="J50" s="122">
        <f t="shared" si="0"/>
        <v>0.6</v>
      </c>
      <c r="K50" s="127" t="str">
        <f>'Data entry'!I77</f>
        <v>Recycle Pit</v>
      </c>
      <c r="L50" s="114" t="str">
        <f>'Data entry'!J77</f>
        <v>Lot number removed</v>
      </c>
      <c r="M50" s="114">
        <f>'Data entry'!K77</f>
        <v>0</v>
      </c>
      <c r="N50" s="457">
        <f>'Data entry'!T77</f>
        <v>0</v>
      </c>
      <c r="O50" s="123"/>
      <c r="P50" s="123"/>
      <c r="Q50" s="124">
        <v>2</v>
      </c>
      <c r="R50" s="114">
        <f>'Data entry'!O77</f>
        <v>5</v>
      </c>
      <c r="S50" s="114">
        <f>'Data entry'!P77</f>
        <v>0</v>
      </c>
      <c r="T50" s="126">
        <f>'current bses'!L77+'current bses'!O77</f>
        <v>9.5</v>
      </c>
      <c r="U50" s="461" t="str">
        <f>'Data entry'!I77</f>
        <v>Recycle Pit</v>
      </c>
      <c r="V50" s="125">
        <f>'Data entry'!R77</f>
        <v>283</v>
      </c>
      <c r="W50" s="125">
        <f>'thorburn clases'!D77</f>
        <v>2</v>
      </c>
      <c r="X50" s="125">
        <f>'N movement slave'!G77</f>
        <v>140</v>
      </c>
      <c r="Y50" s="125">
        <f>'N movement slave'!H77</f>
        <v>1395</v>
      </c>
      <c r="Z50" s="125">
        <f>'N movement slave'!I77</f>
        <v>32</v>
      </c>
      <c r="AA50" s="125">
        <f>'N movement slave'!J77</f>
        <v>450</v>
      </c>
      <c r="AB50" s="568">
        <f>'N movement slave'!K77</f>
        <v>2</v>
      </c>
      <c r="AC50" s="107">
        <f t="shared" si="1"/>
        <v>0.964375</v>
      </c>
      <c r="AD50" s="124">
        <f>'Data entry'!X77</f>
        <v>163.32875</v>
      </c>
      <c r="AE50" s="124">
        <f>'Data entry'!Y77</f>
        <v>243.17149999999998</v>
      </c>
      <c r="AF50" s="36">
        <v>0.2</v>
      </c>
      <c r="AG50" s="35">
        <f t="shared" si="2"/>
        <v>66.94047499999999</v>
      </c>
      <c r="AH50" s="35">
        <f t="shared" si="3"/>
        <v>3.9376749999999996</v>
      </c>
      <c r="AI50" s="35">
        <f t="shared" si="4"/>
        <v>1074.662877859375</v>
      </c>
      <c r="AJ50" s="35">
        <f t="shared" si="5"/>
        <v>77.601475</v>
      </c>
      <c r="AK50" s="35">
        <f t="shared" si="6"/>
        <v>4.564792647058823</v>
      </c>
      <c r="AL50" s="35">
        <f t="shared" si="7"/>
        <v>1245.8146502490808</v>
      </c>
      <c r="AM50" s="60">
        <f>'Data entry'!S77</f>
        <v>15</v>
      </c>
      <c r="AN50" s="59">
        <f t="shared" si="8"/>
        <v>42.45</v>
      </c>
      <c r="AO50" s="59">
        <f t="shared" si="9"/>
        <v>0.3533568904593639</v>
      </c>
      <c r="AP50" s="107">
        <f t="shared" si="10"/>
        <v>0.2126727844131339</v>
      </c>
      <c r="AQ50" s="40">
        <f>IF(AM50=10.89,0.3,1)</f>
        <v>1</v>
      </c>
      <c r="AR50" s="38">
        <f t="shared" si="11"/>
        <v>228.55154653978488</v>
      </c>
      <c r="AS50" s="39">
        <v>5</v>
      </c>
      <c r="AT50" s="38">
        <f t="shared" si="12"/>
        <v>1142.7577326989244</v>
      </c>
      <c r="AU50" s="41">
        <v>7460</v>
      </c>
      <c r="AV50" s="41">
        <v>401</v>
      </c>
      <c r="AW50" s="41">
        <f t="shared" si="13"/>
        <v>7861</v>
      </c>
      <c r="AX50" s="42">
        <f t="shared" si="14"/>
        <v>0.00014537052953808986</v>
      </c>
      <c r="AY50" s="432">
        <f>'Verification score'!M77</f>
        <v>0.5525</v>
      </c>
      <c r="AZ50" s="107">
        <f>'Data entry'!$AU$3</f>
        <v>0.1</v>
      </c>
      <c r="BA50" s="432">
        <f>'future bses'!AI77</f>
        <v>0.00999999999999999</v>
      </c>
      <c r="BB50" s="107">
        <f>'Data entry'!$AV$3</f>
        <v>0.05</v>
      </c>
      <c r="BC50" s="43">
        <f t="shared" si="15"/>
        <v>0.015347895242071686</v>
      </c>
      <c r="BD50" s="44">
        <f t="shared" si="16"/>
        <v>34200</v>
      </c>
      <c r="BE50">
        <f t="shared" si="17"/>
        <v>4.487688667272423E-07</v>
      </c>
    </row>
    <row r="51" spans="1:57" ht="25.5">
      <c r="A51" s="45"/>
      <c r="B51" s="287">
        <v>78</v>
      </c>
      <c r="C51" s="126" t="str">
        <f>'Data entry'!A78</f>
        <v>94b</v>
      </c>
      <c r="D51" s="124">
        <f>'Data entry'!B78</f>
        <v>76</v>
      </c>
      <c r="E51" s="452" t="s">
        <v>1116</v>
      </c>
      <c r="F51" s="120" t="s">
        <v>778</v>
      </c>
      <c r="G51" s="129">
        <f>'Data entry'!E78</f>
        <v>10000</v>
      </c>
      <c r="H51" s="129">
        <f>'Data entry'!F78</f>
        <v>2000</v>
      </c>
      <c r="I51" s="129">
        <f>'Data entry'!G78</f>
        <v>8000</v>
      </c>
      <c r="J51" s="122">
        <f t="shared" si="0"/>
        <v>0.8</v>
      </c>
      <c r="K51" s="127" t="str">
        <f>'Data entry'!I78</f>
        <v>Recycle pit_extension</v>
      </c>
      <c r="L51" s="114" t="str">
        <f>'Data entry'!J78</f>
        <v>Lot number removed</v>
      </c>
      <c r="M51" s="114">
        <f>'Data entry'!K78</f>
        <v>0</v>
      </c>
      <c r="N51" s="457" t="str">
        <f>'Data entry'!T78</f>
        <v>Recycle pit_extension</v>
      </c>
      <c r="O51" s="123"/>
      <c r="P51" s="123"/>
      <c r="Q51" s="124">
        <v>2</v>
      </c>
      <c r="R51" s="114">
        <f>'Data entry'!O78</f>
        <v>5</v>
      </c>
      <c r="S51" s="114">
        <f>'Data entry'!P78</f>
        <v>0</v>
      </c>
      <c r="T51" s="126">
        <f>'current bses'!L78+'current bses'!O78</f>
        <v>8.75</v>
      </c>
      <c r="U51" s="461" t="str">
        <f>'Data entry'!I78</f>
        <v>Recycle pit_extension</v>
      </c>
      <c r="V51" s="125">
        <f>'Data entry'!R78</f>
        <v>304</v>
      </c>
      <c r="W51" s="125">
        <f>'thorburn clases'!D78</f>
        <v>1</v>
      </c>
      <c r="X51" s="125">
        <f>'N movement slave'!G78</f>
        <v>95.5</v>
      </c>
      <c r="Y51" s="125">
        <f>'N movement slave'!H78</f>
        <v>1876</v>
      </c>
      <c r="Z51" s="125">
        <f>'N movement slave'!I78</f>
        <v>18</v>
      </c>
      <c r="AA51" s="125">
        <f>'N movement slave'!J78</f>
        <v>363</v>
      </c>
      <c r="AB51" s="568">
        <f>'N movement slave'!K78</f>
        <v>0.1</v>
      </c>
      <c r="AC51" s="107">
        <f t="shared" si="1"/>
        <v>0.9671875</v>
      </c>
      <c r="AD51" s="124">
        <f>'Data entry'!X78</f>
        <v>163.32875</v>
      </c>
      <c r="AE51" s="124">
        <f>'Data entry'!Y78</f>
        <v>243.17149999999998</v>
      </c>
      <c r="AF51" s="36">
        <v>0.2</v>
      </c>
      <c r="AG51" s="35">
        <f t="shared" si="2"/>
        <v>52.24119607329843</v>
      </c>
      <c r="AH51" s="35">
        <f t="shared" si="3"/>
        <v>0.2886253926701571</v>
      </c>
      <c r="AI51" s="35">
        <f t="shared" si="4"/>
        <v>84.86308107984293</v>
      </c>
      <c r="AJ51" s="35">
        <f t="shared" si="5"/>
        <v>83.95147499999999</v>
      </c>
      <c r="AK51" s="35">
        <f t="shared" si="6"/>
        <v>0.4638203038674032</v>
      </c>
      <c r="AL51" s="35">
        <f t="shared" si="7"/>
        <v>136.37476484461322</v>
      </c>
      <c r="AM51" s="60">
        <f>'Data entry'!S78</f>
        <v>18</v>
      </c>
      <c r="AN51" s="59">
        <f t="shared" si="8"/>
        <v>45.599999999999994</v>
      </c>
      <c r="AO51" s="59">
        <f t="shared" si="9"/>
        <v>0.3947368421052632</v>
      </c>
      <c r="AP51" s="107">
        <f t="shared" si="10"/>
        <v>0.22478067243514233</v>
      </c>
      <c r="AQ51" s="40">
        <f>'Data entry'!BQ78</f>
        <v>0.11755733298042381</v>
      </c>
      <c r="AR51" s="38">
        <f t="shared" si="11"/>
        <v>2.2424743604096675</v>
      </c>
      <c r="AS51" s="39">
        <v>5</v>
      </c>
      <c r="AT51" s="38">
        <f t="shared" si="12"/>
        <v>11.212371802048338</v>
      </c>
      <c r="AU51" s="41">
        <v>7460</v>
      </c>
      <c r="AV51" s="41">
        <v>401</v>
      </c>
      <c r="AW51" s="41">
        <f t="shared" si="13"/>
        <v>7861</v>
      </c>
      <c r="AX51" s="42">
        <f t="shared" si="14"/>
        <v>1.426328940598949E-06</v>
      </c>
      <c r="AY51" s="432">
        <f>'Verification score'!M78</f>
        <v>0.4083333333333333</v>
      </c>
      <c r="AZ51" s="107">
        <f>'Data entry'!$AU$3</f>
        <v>0.1</v>
      </c>
      <c r="BA51" s="432">
        <f>'future bses'!AI78</f>
        <v>0.0021428571428571477</v>
      </c>
      <c r="BB51" s="107">
        <f>'Data entry'!$AV$3</f>
        <v>0.05</v>
      </c>
      <c r="BC51" s="43">
        <f t="shared" si="15"/>
        <v>0.00014847297668204427</v>
      </c>
      <c r="BD51" s="44">
        <f t="shared" si="16"/>
        <v>8000</v>
      </c>
      <c r="BE51">
        <f t="shared" si="17"/>
        <v>1.8559122085255534E-08</v>
      </c>
    </row>
    <row r="52" spans="1:57" ht="38.25">
      <c r="A52" s="45"/>
      <c r="B52" s="287">
        <v>79</v>
      </c>
      <c r="C52" s="126" t="str">
        <f>'Data entry'!A79</f>
        <v>94c</v>
      </c>
      <c r="D52" s="124">
        <f>'Data entry'!B79</f>
        <v>77</v>
      </c>
      <c r="E52" s="452" t="s">
        <v>1116</v>
      </c>
      <c r="F52" s="120" t="s">
        <v>778</v>
      </c>
      <c r="G52" s="129">
        <f>'Data entry'!E79</f>
        <v>28000</v>
      </c>
      <c r="H52" s="129">
        <f>'Data entry'!F79</f>
        <v>11200</v>
      </c>
      <c r="I52" s="129">
        <f>'Data entry'!G79</f>
        <v>16800</v>
      </c>
      <c r="J52" s="122">
        <f t="shared" si="0"/>
        <v>0.6</v>
      </c>
      <c r="K52" s="127" t="str">
        <f>'Data entry'!I79</f>
        <v>Recycle pit extension + upgrade</v>
      </c>
      <c r="L52" s="114" t="str">
        <f>'Data entry'!J79</f>
        <v>Lot number removed</v>
      </c>
      <c r="M52" s="114">
        <f>'Data entry'!K79</f>
        <v>0</v>
      </c>
      <c r="N52" s="457" t="str">
        <f>'Data entry'!T79</f>
        <v>Recycle pit extension + upgrade</v>
      </c>
      <c r="O52" s="123"/>
      <c r="P52" s="123"/>
      <c r="Q52" s="124">
        <v>2</v>
      </c>
      <c r="R52" s="114">
        <f>'Data entry'!O79</f>
        <v>5</v>
      </c>
      <c r="S52" s="114">
        <f>'Data entry'!P79</f>
        <v>0</v>
      </c>
      <c r="T52" s="126">
        <f>'current bses'!L79+'current bses'!O79</f>
        <v>8.75</v>
      </c>
      <c r="U52" s="461" t="str">
        <f>'Data entry'!I79</f>
        <v>Recycle pit extension + upgrade</v>
      </c>
      <c r="V52" s="125">
        <f>'Data entry'!R79</f>
        <v>162</v>
      </c>
      <c r="W52" s="125">
        <f>'thorburn clases'!D79</f>
        <v>1</v>
      </c>
      <c r="X52" s="125">
        <f>'N movement slave'!G79</f>
        <v>95.5</v>
      </c>
      <c r="Y52" s="125">
        <f>'N movement slave'!H79</f>
        <v>1876</v>
      </c>
      <c r="Z52" s="125">
        <f>'N movement slave'!I79</f>
        <v>18</v>
      </c>
      <c r="AA52" s="125">
        <f>'N movement slave'!J79</f>
        <v>363</v>
      </c>
      <c r="AB52" s="568">
        <f>'N movement slave'!K79</f>
        <v>0.1</v>
      </c>
      <c r="AC52" s="107">
        <f t="shared" si="1"/>
        <v>0.9671875</v>
      </c>
      <c r="AD52" s="124">
        <f>'Data entry'!X79</f>
        <v>163.32875</v>
      </c>
      <c r="AE52" s="124">
        <f>'Data entry'!Y79</f>
        <v>243.17149999999998</v>
      </c>
      <c r="AF52" s="36">
        <v>0.2</v>
      </c>
      <c r="AG52" s="35">
        <f t="shared" si="2"/>
        <v>52.24119607329843</v>
      </c>
      <c r="AH52" s="35">
        <f t="shared" si="3"/>
        <v>0.2886253926701571</v>
      </c>
      <c r="AI52" s="35">
        <f t="shared" si="4"/>
        <v>45.22308925965314</v>
      </c>
      <c r="AJ52" s="35">
        <f t="shared" si="5"/>
        <v>83.95147499999999</v>
      </c>
      <c r="AK52" s="35">
        <f t="shared" si="6"/>
        <v>0.4638203038674032</v>
      </c>
      <c r="AL52" s="35">
        <f t="shared" si="7"/>
        <v>72.67339442377414</v>
      </c>
      <c r="AM52" s="60">
        <f>'Data entry'!S79</f>
        <v>10</v>
      </c>
      <c r="AN52" s="59">
        <f t="shared" si="8"/>
        <v>24.299999999999997</v>
      </c>
      <c r="AO52" s="59">
        <f t="shared" si="9"/>
        <v>0.41152263374485604</v>
      </c>
      <c r="AP52" s="107">
        <f>IF(AO52&gt;5,0.8,POWER(AO52,0.5)*0.357771)</f>
        <v>0.22951020350915738</v>
      </c>
      <c r="AQ52" s="40">
        <f>'Data entry'!BE79</f>
        <v>0.13862943611198908</v>
      </c>
      <c r="AR52" s="38">
        <f t="shared" si="11"/>
        <v>1.4388571562428505</v>
      </c>
      <c r="AS52" s="39">
        <v>5</v>
      </c>
      <c r="AT52" s="38">
        <f t="shared" si="12"/>
        <v>7.194285781214252</v>
      </c>
      <c r="AU52" s="41">
        <v>7460</v>
      </c>
      <c r="AV52" s="41">
        <v>401</v>
      </c>
      <c r="AW52" s="41">
        <f t="shared" si="13"/>
        <v>7861</v>
      </c>
      <c r="AX52" s="42">
        <f t="shared" si="14"/>
        <v>9.151870984880107E-07</v>
      </c>
      <c r="AY52" s="432">
        <f>'Verification score'!M79</f>
        <v>0.47833333333333333</v>
      </c>
      <c r="AZ52" s="107">
        <f>'Data entry'!$AU$3</f>
        <v>0.1</v>
      </c>
      <c r="BA52" s="432">
        <f>'future bses'!AI79</f>
        <v>0.0021428571428571477</v>
      </c>
      <c r="BB52" s="107">
        <f>'Data entry'!$AV$3</f>
        <v>0.05</v>
      </c>
      <c r="BC52" s="43">
        <f t="shared" si="15"/>
        <v>9.590662941267859E-05</v>
      </c>
      <c r="BD52" s="44">
        <f t="shared" si="16"/>
        <v>16800</v>
      </c>
      <c r="BE52">
        <f t="shared" si="17"/>
        <v>5.708727941230868E-09</v>
      </c>
    </row>
    <row r="53" spans="4:19" ht="12.75">
      <c r="D53" s="62"/>
      <c r="E53" s="453"/>
      <c r="F53" s="51"/>
      <c r="G53" s="51"/>
      <c r="H53" s="51"/>
      <c r="I53" s="51"/>
      <c r="J53" s="51"/>
      <c r="K53" s="51"/>
      <c r="L53" s="51"/>
      <c r="M53" s="51"/>
      <c r="N53" s="453"/>
      <c r="O53" s="51"/>
      <c r="P53" s="51"/>
      <c r="Q53" s="51"/>
      <c r="R53" s="51"/>
      <c r="S53" s="51"/>
    </row>
    <row r="55" ht="50.25" customHeight="1">
      <c r="AQ55" s="15" t="s">
        <v>661</v>
      </c>
    </row>
    <row r="56" ht="12.75">
      <c r="AF56" t="s">
        <v>684</v>
      </c>
    </row>
    <row r="61" ht="12.75">
      <c r="AP61">
        <f>LN(5)/2</f>
        <v>0.8047189562170501</v>
      </c>
    </row>
  </sheetData>
  <sheetProtection/>
  <mergeCells count="6">
    <mergeCell ref="A12:A20"/>
    <mergeCell ref="AY7:BC7"/>
    <mergeCell ref="AS6:AS7"/>
    <mergeCell ref="D7:L7"/>
    <mergeCell ref="U7:AN7"/>
    <mergeCell ref="AU7:AV7"/>
  </mergeCells>
  <printOptions/>
  <pageMargins left="0.75" right="0.75" top="1" bottom="1" header="0.5" footer="0.5"/>
  <pageSetup horizontalDpi="1200" verticalDpi="1200" orientation="portrait" r:id="rId3"/>
  <legacyDrawing r:id="rId2"/>
</worksheet>
</file>

<file path=xl/worksheets/sheet10.xml><?xml version="1.0" encoding="utf-8"?>
<worksheet xmlns="http://schemas.openxmlformats.org/spreadsheetml/2006/main" xmlns:r="http://schemas.openxmlformats.org/officeDocument/2006/relationships">
  <dimension ref="A1:N89"/>
  <sheetViews>
    <sheetView zoomScalePageLayoutView="0" workbookViewId="0" topLeftCell="A1">
      <pane xSplit="3" ySplit="2" topLeftCell="D41" activePane="bottomRight" state="frozen"/>
      <selection pane="topLeft" activeCell="A1" sqref="A1"/>
      <selection pane="topRight" activeCell="D1" sqref="D1"/>
      <selection pane="bottomLeft" activeCell="A3" sqref="A3"/>
      <selection pane="bottomRight" activeCell="B88" sqref="B88"/>
    </sheetView>
  </sheetViews>
  <sheetFormatPr defaultColWidth="9.140625" defaultRowHeight="12.75"/>
  <cols>
    <col min="2" max="2" width="11.57421875" style="0" customWidth="1"/>
    <col min="3" max="3" width="15.421875" style="0" customWidth="1"/>
    <col min="4" max="4" width="11.8515625" style="0" customWidth="1"/>
    <col min="5" max="5" width="9.140625" style="51" customWidth="1"/>
  </cols>
  <sheetData>
    <row r="1" spans="1:11" s="15" customFormat="1" ht="25.5">
      <c r="A1" s="55" t="s">
        <v>810</v>
      </c>
      <c r="B1" s="162" t="s">
        <v>74</v>
      </c>
      <c r="C1" s="55" t="s">
        <v>811</v>
      </c>
      <c r="D1" s="7" t="s">
        <v>373</v>
      </c>
      <c r="E1" s="13" t="s">
        <v>374</v>
      </c>
      <c r="F1" s="15" t="s">
        <v>431</v>
      </c>
      <c r="G1" s="15" t="s">
        <v>432</v>
      </c>
      <c r="H1" s="15" t="s">
        <v>16</v>
      </c>
      <c r="I1" s="15" t="s">
        <v>17</v>
      </c>
      <c r="J1" s="15" t="s">
        <v>18</v>
      </c>
      <c r="K1" s="15" t="s">
        <v>19</v>
      </c>
    </row>
    <row r="2" spans="1:14" s="15" customFormat="1" ht="12.75">
      <c r="A2" s="55"/>
      <c r="B2" s="162"/>
      <c r="C2" s="55"/>
      <c r="D2" s="7"/>
      <c r="E2" s="13"/>
      <c r="M2" s="15" t="s">
        <v>745</v>
      </c>
      <c r="N2" s="15">
        <v>1</v>
      </c>
    </row>
    <row r="3" spans="1:14" ht="12.75">
      <c r="A3" s="164">
        <v>1</v>
      </c>
      <c r="B3" s="163">
        <v>1</v>
      </c>
      <c r="C3" s="163" t="s">
        <v>1116</v>
      </c>
      <c r="D3" s="485">
        <v>3</v>
      </c>
      <c r="E3" s="566">
        <v>4</v>
      </c>
      <c r="F3">
        <f>'Data entry'!N3</f>
        <v>3</v>
      </c>
      <c r="G3">
        <f>IF(F3=1,174,IF(F3=2,174,IF(F3=3,174,174)))</f>
        <v>174</v>
      </c>
      <c r="H3">
        <f>IF($F3=1,259,IF($F3=2,448,IF($F3=3,1585,IF(F3=4,1169,1377))))</f>
        <v>1585</v>
      </c>
      <c r="I3">
        <f>IF($F3=1,8,IF($F3=2,15,IF($F3=3,78,IF(F3=4,25,51.5))))</f>
        <v>78</v>
      </c>
      <c r="J3">
        <f>IF($F3=1,1367,IF($F3=2,1238,IF($F3=3,311,IF(F3=4,447,379))))</f>
        <v>311</v>
      </c>
      <c r="K3">
        <f>IF($F3=1,11,IF($F3=2,17,IF($F3=3,2,2)))</f>
        <v>2</v>
      </c>
      <c r="M3" t="s">
        <v>746</v>
      </c>
      <c r="N3">
        <v>2</v>
      </c>
    </row>
    <row r="4" spans="1:14" ht="12.75">
      <c r="A4" s="164">
        <v>2</v>
      </c>
      <c r="B4" s="163">
        <v>2</v>
      </c>
      <c r="C4" s="163" t="s">
        <v>1116</v>
      </c>
      <c r="D4" s="485">
        <v>2</v>
      </c>
      <c r="E4" s="566">
        <v>3</v>
      </c>
      <c r="F4">
        <f>'Data entry'!N4</f>
        <v>3</v>
      </c>
      <c r="G4">
        <f>IF(F4=1,128,IF(F4=2,120,IF(F4=3,136,IF(F4=4,144,140))))</f>
        <v>136</v>
      </c>
      <c r="H4">
        <f>IF($F4=1,262,IF($F4=2,457,IF($F4=3,1605,IF(F4=4,1184,1395))))</f>
        <v>1605</v>
      </c>
      <c r="I4">
        <f>IF($F4=1,4,IF($F4=2,8,IF($F4=3,47,IF(F4=4,18,32))))</f>
        <v>47</v>
      </c>
      <c r="J4">
        <f>IF($F4=1,1371,IF($F4=2,1237,IF($F4=3,310,450)))</f>
        <v>310</v>
      </c>
      <c r="K4">
        <f>IF($F4=1,9,IF($F4=2,13,IF($F4=3,2,2)))</f>
        <v>2</v>
      </c>
      <c r="M4" t="s">
        <v>747</v>
      </c>
      <c r="N4">
        <v>3</v>
      </c>
    </row>
    <row r="5" spans="1:14" ht="12.75">
      <c r="A5" s="164">
        <v>3</v>
      </c>
      <c r="B5" s="163">
        <v>3</v>
      </c>
      <c r="C5" s="163" t="s">
        <v>1116</v>
      </c>
      <c r="D5" s="485">
        <v>2</v>
      </c>
      <c r="E5" s="566">
        <v>3</v>
      </c>
      <c r="F5">
        <f>'Data entry'!N5</f>
        <v>3</v>
      </c>
      <c r="G5">
        <f>IF(F5=1,128,IF(F5=2,120,IF(F5=3,136,IF(F5=4,144,140))))</f>
        <v>136</v>
      </c>
      <c r="H5">
        <f>IF($F5=1,262,IF($F5=2,457,IF($F5=3,1605,IF(F5=4,1184,1395))))</f>
        <v>1605</v>
      </c>
      <c r="I5">
        <f>IF($F5=1,4,IF($F5=2,8,IF($F5=3,47,IF(F5=4,18,32))))</f>
        <v>47</v>
      </c>
      <c r="J5">
        <f>IF($F5=1,1371,IF($F5=2,1237,IF($F5=3,310,450)))</f>
        <v>310</v>
      </c>
      <c r="K5">
        <f>IF($F5=1,9,IF($F5=2,13,IF($F5=3,2,2)))</f>
        <v>2</v>
      </c>
      <c r="M5" t="s">
        <v>748</v>
      </c>
      <c r="N5">
        <v>4</v>
      </c>
    </row>
    <row r="6" spans="1:14" ht="12.75">
      <c r="A6" s="164">
        <v>4</v>
      </c>
      <c r="B6" s="163">
        <v>4</v>
      </c>
      <c r="C6" s="163" t="s">
        <v>1116</v>
      </c>
      <c r="D6" s="485">
        <v>3</v>
      </c>
      <c r="E6" s="566">
        <v>3</v>
      </c>
      <c r="F6">
        <f>'Data entry'!N6</f>
        <v>3</v>
      </c>
      <c r="G6">
        <f>IF(F6=1,174,IF(F6=2,174,IF(F6=3,174,174)))</f>
        <v>174</v>
      </c>
      <c r="H6">
        <f>IF($F6=1,259,IF($F6=2,448,IF($F6=3,1585,IF(F6=4,1169,1377))))</f>
        <v>1585</v>
      </c>
      <c r="I6">
        <f>IF($F6=1,8,IF($F6=2,15,IF($F6=3,78,IF(F6=4,25,51.5))))</f>
        <v>78</v>
      </c>
      <c r="J6">
        <f>IF($F6=1,1367,IF($F6=2,1238,IF($F6=3,311,IF(F6=4,447,379))))</f>
        <v>311</v>
      </c>
      <c r="K6">
        <f>IF($F6=1,11,IF($F6=2,17,IF($F6=3,2,2)))</f>
        <v>2</v>
      </c>
      <c r="M6" t="s">
        <v>749</v>
      </c>
      <c r="N6">
        <v>5</v>
      </c>
    </row>
    <row r="7" spans="1:11" ht="12.75">
      <c r="A7" s="164">
        <v>5</v>
      </c>
      <c r="B7" s="163">
        <v>5</v>
      </c>
      <c r="C7" s="163" t="s">
        <v>1116</v>
      </c>
      <c r="D7" s="485">
        <v>3</v>
      </c>
      <c r="E7" s="566">
        <v>4</v>
      </c>
      <c r="F7">
        <f>'Data entry'!N7</f>
        <v>3</v>
      </c>
      <c r="G7">
        <f>IF(F7=1,174,IF(F7=2,174,IF(F7=3,174,174)))</f>
        <v>174</v>
      </c>
      <c r="H7">
        <f>IF($F7=1,259,IF($F7=2,448,IF($F7=3,1585,IF(F7=4,1169,1377))))</f>
        <v>1585</v>
      </c>
      <c r="I7">
        <f>IF($F7=1,8,IF($F7=2,15,IF($F7=3,78,IF(F7=4,25,51.5))))</f>
        <v>78</v>
      </c>
      <c r="J7">
        <f>IF($F7=1,1367,IF($F7=2,1238,IF($F7=3,311,IF(F7=4,447,379))))</f>
        <v>311</v>
      </c>
      <c r="K7">
        <f>IF($F7=1,11,IF($F7=2,17,IF($F7=3,2,2)))</f>
        <v>2</v>
      </c>
    </row>
    <row r="8" spans="1:11" ht="12.75">
      <c r="A8" s="164">
        <v>6</v>
      </c>
      <c r="B8" s="163">
        <v>6</v>
      </c>
      <c r="C8" s="163" t="s">
        <v>1116</v>
      </c>
      <c r="D8" s="486">
        <v>2</v>
      </c>
      <c r="E8" s="567">
        <v>3</v>
      </c>
      <c r="F8">
        <f>'Data entry'!N8</f>
        <v>2</v>
      </c>
      <c r="G8">
        <f>IF(F8=1,128,IF(F8=2,120,IF(F8=3,136,IF(F8=4,144,140))))</f>
        <v>120</v>
      </c>
      <c r="H8">
        <f>IF($F8=1,262,IF($F8=2,457,IF($F8=3,1605,IF(F8=4,1184,1395))))</f>
        <v>457</v>
      </c>
      <c r="I8">
        <f>IF($F8=1,4,IF($F8=2,8,IF($F8=3,47,IF(F8=4,18,32))))</f>
        <v>8</v>
      </c>
      <c r="J8">
        <f>IF($F8=1,1371,IF($F8=2,1237,IF($F8=3,310,450)))</f>
        <v>1237</v>
      </c>
      <c r="K8">
        <f>IF($F8=1,9,IF($F8=2,13,IF($F8=3,2,2)))</f>
        <v>13</v>
      </c>
    </row>
    <row r="9" spans="1:11" ht="12.75">
      <c r="A9" s="164" t="s">
        <v>808</v>
      </c>
      <c r="B9" s="163">
        <v>7</v>
      </c>
      <c r="C9" s="163" t="s">
        <v>1116</v>
      </c>
      <c r="D9" s="485">
        <v>3</v>
      </c>
      <c r="E9" s="566">
        <v>3</v>
      </c>
      <c r="F9">
        <f>'Data entry'!N9</f>
        <v>3</v>
      </c>
      <c r="G9">
        <f>IF(F9=1,174,IF(F9=2,174,IF(F9=3,174,174)))</f>
        <v>174</v>
      </c>
      <c r="H9">
        <f>IF($F9=1,259,IF($F9=2,448,IF($F9=3,1585,IF(F9=4,1169,1377))))</f>
        <v>1585</v>
      </c>
      <c r="I9">
        <f>IF($F9=1,8,IF($F9=2,15,IF($F9=3,78,IF(F9=4,25,51.5))))</f>
        <v>78</v>
      </c>
      <c r="J9">
        <f>IF($F9=1,1367,IF($F9=2,1238,IF($F9=3,311,IF(F9=4,447,379))))</f>
        <v>311</v>
      </c>
      <c r="K9">
        <f>IF($F9=1,11,IF($F9=2,17,IF($F9=3,2,2)))</f>
        <v>2</v>
      </c>
    </row>
    <row r="10" spans="1:11" ht="12.75">
      <c r="A10" s="202" t="s">
        <v>809</v>
      </c>
      <c r="B10" s="201">
        <v>8</v>
      </c>
      <c r="C10" s="201" t="s">
        <v>1116</v>
      </c>
      <c r="D10" s="485">
        <v>4</v>
      </c>
      <c r="E10" s="566">
        <v>4</v>
      </c>
      <c r="F10">
        <f>'Data entry'!N10</f>
        <v>3</v>
      </c>
      <c r="G10">
        <f>IF(F10=1,202,IF(F10=2,202,IF(F10=3,202,202)))</f>
        <v>202</v>
      </c>
      <c r="H10">
        <f>IF($F10=1,249,IF($F10=2,391,IF($F10=3,1510,IF(F10=4,1160,1335))))</f>
        <v>1510</v>
      </c>
      <c r="I10">
        <f>IF($F10=1,9,IF($F10=2,14,IF($F10=3,87,IF(F10=4,35,61))))</f>
        <v>87</v>
      </c>
      <c r="J10">
        <f>IF($F10=1,1370,IF($F10=2,1282,IF($F10=3,358,IF(F10=4,425,392))))</f>
        <v>358</v>
      </c>
      <c r="K10">
        <f>IF($F10=1,29,IF($F10=2,43,IF($F10=3,3,3)))</f>
        <v>3</v>
      </c>
    </row>
    <row r="11" spans="1:11" ht="12.75">
      <c r="A11" s="164">
        <v>12</v>
      </c>
      <c r="B11" s="163">
        <v>9</v>
      </c>
      <c r="C11" s="163" t="s">
        <v>1116</v>
      </c>
      <c r="D11" s="485">
        <v>4</v>
      </c>
      <c r="E11" s="566">
        <v>4</v>
      </c>
      <c r="F11">
        <f>'Data entry'!N11</f>
        <v>3</v>
      </c>
      <c r="G11">
        <f>IF(F11=1,202,IF(F11=2,202,IF(F11=3,202,202)))</f>
        <v>202</v>
      </c>
      <c r="H11">
        <f>IF($F11=1,249,IF($F11=2,391,IF($F11=3,1510,IF(F11=4,1160,1335))))</f>
        <v>1510</v>
      </c>
      <c r="I11">
        <f>IF($F11=1,9,IF($F11=2,14,IF($F11=3,87,IF(F11=4,35,61))))</f>
        <v>87</v>
      </c>
      <c r="J11">
        <f>IF($F11=1,1370,IF($F11=2,1282,IF($F11=3,358,IF(F11=4,425,392))))</f>
        <v>358</v>
      </c>
      <c r="K11">
        <f>IF($F11=1,29,IF($F11=2,43,IF($F11=3,3,3)))</f>
        <v>3</v>
      </c>
    </row>
    <row r="12" spans="1:11" ht="12.75">
      <c r="A12" s="164">
        <v>15</v>
      </c>
      <c r="B12" s="163">
        <v>10</v>
      </c>
      <c r="C12" s="163" t="s">
        <v>1116</v>
      </c>
      <c r="D12" s="485">
        <v>2</v>
      </c>
      <c r="E12" s="566">
        <v>2</v>
      </c>
      <c r="F12">
        <f>'Data entry'!N12</f>
        <v>3</v>
      </c>
      <c r="G12">
        <f>IF(F12=1,128,IF(F12=2,120,IF(F12=3,136,IF(F12=4,144,140))))</f>
        <v>136</v>
      </c>
      <c r="H12">
        <f>IF($F12=1,262,IF($F12=2,457,IF($F12=3,1605,IF(F12=4,1184,1395))))</f>
        <v>1605</v>
      </c>
      <c r="I12">
        <f>IF($F12=1,4,IF($F12=2,8,IF($F12=3,47,IF(F12=4,18,32))))</f>
        <v>47</v>
      </c>
      <c r="J12">
        <f>IF($F12=1,1371,IF($F12=2,1237,IF($F12=3,310,450)))</f>
        <v>310</v>
      </c>
      <c r="K12">
        <f>IF($F12=1,9,IF($F12=2,13,IF($F12=3,2,2)))</f>
        <v>2</v>
      </c>
    </row>
    <row r="13" spans="1:11" ht="12.75">
      <c r="A13" s="164">
        <v>16</v>
      </c>
      <c r="B13" s="163">
        <v>11</v>
      </c>
      <c r="C13" s="163" t="s">
        <v>1116</v>
      </c>
      <c r="D13" s="485">
        <v>3</v>
      </c>
      <c r="E13" s="566">
        <v>4</v>
      </c>
      <c r="F13">
        <f>'Data entry'!N13</f>
        <v>2</v>
      </c>
      <c r="G13">
        <f>IF(F13=1,174,IF(F13=2,174,IF(F13=3,174,174)))</f>
        <v>174</v>
      </c>
      <c r="H13">
        <f>IF($F13=1,259,IF($F13=2,448,IF($F13=3,1585,IF(F13=4,1169,1377))))</f>
        <v>448</v>
      </c>
      <c r="I13">
        <f>IF($F13=1,8,IF($F13=2,15,IF($F13=3,78,IF(F13=4,25,51.5))))</f>
        <v>15</v>
      </c>
      <c r="J13">
        <f>IF($F13=1,1367,IF($F13=2,1238,IF($F13=3,311,IF(F13=4,447,379))))</f>
        <v>1238</v>
      </c>
      <c r="K13">
        <f>IF($F13=1,11,IF($F13=2,17,IF($F13=3,2,2)))</f>
        <v>17</v>
      </c>
    </row>
    <row r="14" spans="1:11" ht="12.75">
      <c r="A14" s="164">
        <v>17</v>
      </c>
      <c r="B14" s="163">
        <v>12</v>
      </c>
      <c r="C14" s="163" t="s">
        <v>1116</v>
      </c>
      <c r="D14" s="485">
        <v>2</v>
      </c>
      <c r="E14" s="566">
        <v>2</v>
      </c>
      <c r="F14">
        <f>'Data entry'!N14</f>
        <v>2</v>
      </c>
      <c r="G14">
        <f>IF(F14=1,128,IF(F14=2,120,IF(F14=3,136,IF(F14=4,144,140))))</f>
        <v>120</v>
      </c>
      <c r="H14">
        <f>IF($F14=1,262,IF($F14=2,457,IF($F14=3,1605,IF(F14=4,1184,1395))))</f>
        <v>457</v>
      </c>
      <c r="I14">
        <f>IF($F14=1,4,IF($F14=2,8,IF($F14=3,47,IF(F14=4,18,32))))</f>
        <v>8</v>
      </c>
      <c r="J14">
        <f>IF($F14=1,1371,IF($F14=2,1237,IF($F14=3,310,450)))</f>
        <v>1237</v>
      </c>
      <c r="K14">
        <f>IF($F14=1,9,IF($F14=2,13,IF($F14=3,2,2)))</f>
        <v>13</v>
      </c>
    </row>
    <row r="15" spans="1:11" ht="12.75">
      <c r="A15" s="164">
        <v>21</v>
      </c>
      <c r="B15" s="163">
        <v>13</v>
      </c>
      <c r="C15" s="163" t="s">
        <v>1116</v>
      </c>
      <c r="D15" s="486">
        <v>2</v>
      </c>
      <c r="E15" s="566">
        <v>2</v>
      </c>
      <c r="F15">
        <f>'Data entry'!N15</f>
        <v>3</v>
      </c>
      <c r="G15">
        <f>IF(F15=1,128,IF(F15=2,120,IF(F15=3,136,IF(F15=4,144,140))))</f>
        <v>136</v>
      </c>
      <c r="H15">
        <f>IF($F15=1,262,IF($F15=2,457,IF($F15=3,1605,IF(F15=4,1184,1395))))</f>
        <v>1605</v>
      </c>
      <c r="I15">
        <f>IF($F15=1,4,IF($F15=2,8,IF($F15=3,47,IF(F15=4,18,32))))</f>
        <v>47</v>
      </c>
      <c r="J15">
        <f>IF($F15=1,1371,IF($F15=2,1237,IF($F15=3,310,450)))</f>
        <v>310</v>
      </c>
      <c r="K15">
        <f>IF($F15=1,9,IF($F15=2,13,IF($F15=3,2,2)))</f>
        <v>2</v>
      </c>
    </row>
    <row r="16" spans="1:11" ht="12.75">
      <c r="A16" s="185">
        <v>22</v>
      </c>
      <c r="B16" s="184">
        <v>14</v>
      </c>
      <c r="C16" s="184" t="s">
        <v>1116</v>
      </c>
      <c r="D16" s="485">
        <v>1</v>
      </c>
      <c r="E16" s="566">
        <v>4</v>
      </c>
      <c r="F16">
        <v>5</v>
      </c>
      <c r="G16">
        <f>IF(F16=1,75,IF(F16=2,67,IF(F16=3,91,IF(F16=4,100,95.5))))</f>
        <v>95.5</v>
      </c>
      <c r="H16">
        <f>IF($F16=1,296,IF($F16=2,579,IF($F16=3,1708,IF(F16=4,2043,1876))))</f>
        <v>1876</v>
      </c>
      <c r="I16">
        <f>IF($F16=1,2,IF($F16=2,5,IF($F16=3,28,IF(F16=4,8,18))))</f>
        <v>18</v>
      </c>
      <c r="J16">
        <f>IF($F16=1,1360,IF($F16=2,1149,IF($F16=3,250,IF(F16=4,476,363))))</f>
        <v>363</v>
      </c>
      <c r="K16">
        <f>IF($F16=1,1,IF($F16=2,1,IF($F16=3,0.1,0.1)))</f>
        <v>0.1</v>
      </c>
    </row>
    <row r="17" spans="1:11" ht="12.75">
      <c r="A17" s="185" t="s">
        <v>787</v>
      </c>
      <c r="B17" s="184">
        <v>15</v>
      </c>
      <c r="C17" s="184" t="s">
        <v>1116</v>
      </c>
      <c r="D17" s="485">
        <v>2</v>
      </c>
      <c r="E17" s="566">
        <v>4</v>
      </c>
      <c r="F17">
        <f>'Data entry'!N17</f>
        <v>3</v>
      </c>
      <c r="G17">
        <f>IF(F17=1,128,IF(F17=2,120,IF(F17=3,136,IF(F17=4,144,140))))</f>
        <v>136</v>
      </c>
      <c r="H17">
        <f>IF($F17=1,262,IF($F17=2,457,IF($F17=3,1605,IF(F17=4,1184,1395))))</f>
        <v>1605</v>
      </c>
      <c r="I17">
        <f>IF($F17=1,4,IF($F17=2,8,IF($F17=3,47,IF(F17=4,18,32))))</f>
        <v>47</v>
      </c>
      <c r="J17">
        <f>IF($F17=1,1371,IF($F17=2,1237,IF($F17=3,310,450)))</f>
        <v>310</v>
      </c>
      <c r="K17">
        <f>IF($F17=1,9,IF($F17=2,13,IF($F17=3,2,2)))</f>
        <v>2</v>
      </c>
    </row>
    <row r="18" spans="1:11" ht="12.75">
      <c r="A18" s="185" t="s">
        <v>788</v>
      </c>
      <c r="B18" s="184">
        <v>16</v>
      </c>
      <c r="C18" s="184" t="s">
        <v>1116</v>
      </c>
      <c r="D18" s="488">
        <v>2</v>
      </c>
      <c r="E18" s="566">
        <v>4</v>
      </c>
      <c r="F18">
        <f>'Data entry'!N18</f>
        <v>3</v>
      </c>
      <c r="G18">
        <f>IF(F18=1,128,IF(F18=2,120,IF(F18=3,136,IF(F18=4,144,140))))</f>
        <v>136</v>
      </c>
      <c r="H18">
        <f>IF($F18=1,262,IF($F18=2,457,IF($F18=3,1605,IF(F18=4,1184,1395))))</f>
        <v>1605</v>
      </c>
      <c r="I18">
        <f>IF($F18=1,4,IF($F18=2,8,IF($F18=3,47,IF(F18=4,18,32))))</f>
        <v>47</v>
      </c>
      <c r="J18">
        <f>IF($F18=1,1371,IF($F18=2,1237,IF($F18=3,310,450)))</f>
        <v>310</v>
      </c>
      <c r="K18">
        <f>IF($F18=1,9,IF($F18=2,13,IF($F18=3,2,2)))</f>
        <v>2</v>
      </c>
    </row>
    <row r="19" spans="1:11" ht="12.75">
      <c r="A19" s="185">
        <v>28</v>
      </c>
      <c r="B19" s="184">
        <v>17</v>
      </c>
      <c r="C19" s="184" t="s">
        <v>1116</v>
      </c>
      <c r="D19" s="485">
        <v>3</v>
      </c>
      <c r="E19" s="566">
        <v>4</v>
      </c>
      <c r="F19">
        <f>'Data entry'!N19</f>
        <v>3</v>
      </c>
      <c r="G19">
        <f>IF(F19=1,174,IF(F19=2,174,IF(F19=3,174,174)))</f>
        <v>174</v>
      </c>
      <c r="H19">
        <f>IF($F19=1,259,IF($F19=2,448,IF($F19=3,1585,IF(F19=4,1169,1377))))</f>
        <v>1585</v>
      </c>
      <c r="I19">
        <f>IF($F19=1,8,IF($F19=2,15,IF($F19=3,78,IF(F19=4,25,51.5))))</f>
        <v>78</v>
      </c>
      <c r="J19">
        <f>IF($F19=1,1367,IF($F19=2,1238,IF($F19=3,311,IF(F19=4,447,379))))</f>
        <v>311</v>
      </c>
      <c r="K19">
        <f>IF($F19=1,11,IF($F19=2,17,IF($F19=3,2,2)))</f>
        <v>2</v>
      </c>
    </row>
    <row r="20" spans="1:11" ht="12.75">
      <c r="A20" s="185">
        <v>29</v>
      </c>
      <c r="B20" s="184">
        <v>18</v>
      </c>
      <c r="C20" s="184" t="s">
        <v>1116</v>
      </c>
      <c r="D20" s="485">
        <v>5</v>
      </c>
      <c r="E20" s="566">
        <v>5</v>
      </c>
      <c r="F20">
        <f>'Data entry'!N20</f>
        <v>2</v>
      </c>
      <c r="G20">
        <f>IF(F20=1,305,IF(F20=2,305,IF(F20=3,305,305)))</f>
        <v>305</v>
      </c>
      <c r="H20">
        <f>IF($F20=1,257,IF($F20=2,437,IF($F20=3,1528,IF(F20=4,1192,1360))))</f>
        <v>437</v>
      </c>
      <c r="I20">
        <f>IF($F20=1,23,IF($F20=2,40,IF($F20=3,177,IF(F20=4,99,138))))</f>
        <v>40</v>
      </c>
      <c r="J20">
        <f>IF($F20=1,1401,IF($F20=2,1276,IF($F20=3,379,IF(F20=4,425,402))))</f>
        <v>1276</v>
      </c>
      <c r="K20">
        <f>IF($F20=1,47,IF($F20=2,59,IF($F20=3,9,IF(F20=4,6,7.5))))</f>
        <v>59</v>
      </c>
    </row>
    <row r="21" spans="1:11" ht="12.75">
      <c r="A21" s="164">
        <v>31</v>
      </c>
      <c r="B21" s="163">
        <v>19</v>
      </c>
      <c r="C21" s="163" t="s">
        <v>1116</v>
      </c>
      <c r="D21" s="485">
        <v>2</v>
      </c>
      <c r="E21" s="566">
        <v>3</v>
      </c>
      <c r="F21">
        <f>'Data entry'!N21</f>
        <v>3</v>
      </c>
      <c r="G21">
        <f>IF(F21=1,128,IF(F21=2,120,IF(F21=3,136,IF(F21=4,144,140))))</f>
        <v>136</v>
      </c>
      <c r="H21">
        <f>IF($F21=1,262,IF($F21=2,457,IF($F21=3,1605,IF(F21=4,1184,1395))))</f>
        <v>1605</v>
      </c>
      <c r="I21">
        <f>IF($F21=1,4,IF($F21=2,8,IF($F21=3,47,IF(F21=4,18,32))))</f>
        <v>47</v>
      </c>
      <c r="J21">
        <f>IF($F21=1,1371,IF($F21=2,1237,IF($F21=3,310,450)))</f>
        <v>310</v>
      </c>
      <c r="K21">
        <f>IF($F21=1,9,IF($F21=2,13,IF($F21=3,2,2)))</f>
        <v>2</v>
      </c>
    </row>
    <row r="22" spans="1:11" ht="12.75">
      <c r="A22" s="164" t="s">
        <v>789</v>
      </c>
      <c r="B22" s="163">
        <v>20</v>
      </c>
      <c r="C22" s="163" t="s">
        <v>1116</v>
      </c>
      <c r="D22" s="485">
        <v>4</v>
      </c>
      <c r="E22" s="566">
        <v>4</v>
      </c>
      <c r="F22">
        <f>'Data entry'!N22</f>
        <v>3</v>
      </c>
      <c r="G22">
        <f>IF(F22=1,202,IF(F22=2,202,IF(F22=3,202,202)))</f>
        <v>202</v>
      </c>
      <c r="H22">
        <f>IF($F22=1,249,IF($F22=2,391,IF($F22=3,1510,IF(F22=4,1160,1335))))</f>
        <v>1510</v>
      </c>
      <c r="I22">
        <f>IF($F22=1,9,IF($F22=2,14,IF($F22=3,87,IF(F22=4,35,61))))</f>
        <v>87</v>
      </c>
      <c r="J22">
        <f>IF($F22=1,1370,IF($F22=2,1282,IF($F22=3,358,IF(F22=4,425,392))))</f>
        <v>358</v>
      </c>
      <c r="K22">
        <f>IF($F22=1,29,IF($F22=2,43,IF($F22=3,3,3)))</f>
        <v>3</v>
      </c>
    </row>
    <row r="23" spans="1:11" ht="12.75">
      <c r="A23" s="164" t="s">
        <v>790</v>
      </c>
      <c r="B23" s="163">
        <v>21</v>
      </c>
      <c r="C23" s="163" t="s">
        <v>1116</v>
      </c>
      <c r="D23" s="485">
        <v>3</v>
      </c>
      <c r="E23" s="566">
        <v>4</v>
      </c>
      <c r="F23">
        <f>'Data entry'!N23</f>
        <v>3</v>
      </c>
      <c r="G23">
        <f>IF(F23=1,174,IF(F23=2,174,IF(F23=3,174,174)))</f>
        <v>174</v>
      </c>
      <c r="H23">
        <f>IF($F23=1,259,IF($F23=2,448,IF($F23=3,1585,IF(F23=4,1169,1377))))</f>
        <v>1585</v>
      </c>
      <c r="I23">
        <f>IF($F23=1,8,IF($F23=2,15,IF($F23=3,78,IF(F23=4,25,51.5))))</f>
        <v>78</v>
      </c>
      <c r="J23">
        <f>IF($F23=1,1367,IF($F23=2,1238,IF($F23=3,311,IF(F23=4,447,379))))</f>
        <v>311</v>
      </c>
      <c r="K23">
        <f>IF($F23=1,11,IF($F23=2,17,IF($F23=3,2,2)))</f>
        <v>2</v>
      </c>
    </row>
    <row r="24" spans="1:11" ht="12.75">
      <c r="A24" s="164" t="s">
        <v>791</v>
      </c>
      <c r="B24" s="163">
        <v>22</v>
      </c>
      <c r="C24" s="163" t="s">
        <v>1116</v>
      </c>
      <c r="D24" s="485">
        <v>3</v>
      </c>
      <c r="E24" s="566">
        <v>3</v>
      </c>
      <c r="F24">
        <f>'Data entry'!N24</f>
        <v>3</v>
      </c>
      <c r="G24">
        <f>IF(F24=1,174,IF(F24=2,174,IF(F24=3,174,174)))</f>
        <v>174</v>
      </c>
      <c r="H24">
        <f>IF($F24=1,259,IF($F24=2,448,IF($F24=3,1585,IF(F24=4,1169,1377))))</f>
        <v>1585</v>
      </c>
      <c r="I24">
        <f>IF($F24=1,8,IF($F24=2,15,IF($F24=3,78,IF(F24=4,25,51.5))))</f>
        <v>78</v>
      </c>
      <c r="J24">
        <f>IF($F24=1,1367,IF($F24=2,1238,IF($F24=3,311,IF(F24=4,447,379))))</f>
        <v>311</v>
      </c>
      <c r="K24">
        <f>IF($F24=1,11,IF($F24=2,17,IF($F24=3,2,2)))</f>
        <v>2</v>
      </c>
    </row>
    <row r="25" spans="1:11" ht="12.75">
      <c r="A25" s="185" t="s">
        <v>792</v>
      </c>
      <c r="B25" s="184">
        <v>23</v>
      </c>
      <c r="C25" s="184" t="s">
        <v>1116</v>
      </c>
      <c r="D25" s="485">
        <v>1</v>
      </c>
      <c r="E25" s="566">
        <v>1</v>
      </c>
      <c r="F25">
        <f>'Data entry'!N25</f>
        <v>3</v>
      </c>
      <c r="G25">
        <f>IF(F25=1,75,IF(F25=2,67,IF(F25=3,91,IF(F25=4,100,95.5))))</f>
        <v>91</v>
      </c>
      <c r="H25">
        <f>IF($F25=1,296,IF($F25=2,579,IF($F25=3,1708,IF(F25=4,2043,1876))))</f>
        <v>1708</v>
      </c>
      <c r="I25">
        <f>IF($F25=1,2,IF($F25=2,5,IF($F25=3,28,IF(F25=4,8,18))))</f>
        <v>28</v>
      </c>
      <c r="J25">
        <f>IF($F25=1,1360,IF($F25=2,1149,IF($F25=3,250,IF(F25=4,476,363))))</f>
        <v>250</v>
      </c>
      <c r="K25">
        <f>IF($F25=1,1,IF($F25=2,1,IF($F25=3,0.1,0.1)))</f>
        <v>0.1</v>
      </c>
    </row>
    <row r="26" spans="1:11" ht="12.75">
      <c r="A26" s="289">
        <v>36</v>
      </c>
      <c r="B26" s="290">
        <v>24</v>
      </c>
      <c r="C26" s="290" t="s">
        <v>1116</v>
      </c>
      <c r="D26" s="485">
        <v>3</v>
      </c>
      <c r="E26" s="51">
        <v>3</v>
      </c>
      <c r="F26">
        <f>'Data entry'!N26</f>
        <v>3</v>
      </c>
      <c r="G26">
        <f>IF(F26=1,174,IF(F26=2,174,IF(F26=3,174,174)))</f>
        <v>174</v>
      </c>
      <c r="H26">
        <f>IF($F26=1,259,IF($F26=2,448,IF($F26=3,1585,IF(F26=4,1169,1377))))</f>
        <v>1585</v>
      </c>
      <c r="I26">
        <f>IF($F26=1,8,IF($F26=2,15,IF($F26=3,78,IF(F26=4,25,51.5))))</f>
        <v>78</v>
      </c>
      <c r="J26">
        <f>IF($F26=1,1367,IF($F26=2,1238,IF($F26=3,311,IF(F26=4,447,379))))</f>
        <v>311</v>
      </c>
      <c r="K26">
        <f>IF($F26=1,11,IF($F26=2,17,IF($F26=3,2,2)))</f>
        <v>2</v>
      </c>
    </row>
    <row r="27" spans="1:11" ht="12.75">
      <c r="A27" s="221">
        <v>37</v>
      </c>
      <c r="B27" s="220">
        <v>25</v>
      </c>
      <c r="C27" s="220" t="s">
        <v>1116</v>
      </c>
      <c r="D27" s="485">
        <v>3</v>
      </c>
      <c r="E27" s="51">
        <v>3</v>
      </c>
      <c r="F27">
        <f>'Data entry'!N27</f>
        <v>3</v>
      </c>
      <c r="G27">
        <f>IF(F27=1,174,IF(F27=2,174,IF(F27=3,174,174)))</f>
        <v>174</v>
      </c>
      <c r="H27">
        <f>IF($F27=1,259,IF($F27=2,448,IF($F27=3,1585,IF(F27=4,1169,1377))))</f>
        <v>1585</v>
      </c>
      <c r="I27">
        <f>IF($F27=1,8,IF($F27=2,15,IF($F27=3,78,IF(F27=4,25,51.5))))</f>
        <v>78</v>
      </c>
      <c r="J27">
        <f>IF($F27=1,1367,IF($F27=2,1238,IF($F27=3,311,IF(F27=4,447,379))))</f>
        <v>311</v>
      </c>
      <c r="K27">
        <f>IF($F27=1,11,IF($F27=2,17,IF($F27=3,2,2)))</f>
        <v>2</v>
      </c>
    </row>
    <row r="28" spans="1:11" ht="12.75">
      <c r="A28" s="164">
        <v>38</v>
      </c>
      <c r="B28" s="163">
        <v>26</v>
      </c>
      <c r="C28" s="163" t="s">
        <v>1116</v>
      </c>
      <c r="D28" s="485">
        <v>3</v>
      </c>
      <c r="E28" s="51">
        <v>3</v>
      </c>
      <c r="F28">
        <f>'Data entry'!N28</f>
        <v>2</v>
      </c>
      <c r="G28">
        <f>IF(F28=1,174,IF(F28=2,174,IF(F28=3,174,174)))</f>
        <v>174</v>
      </c>
      <c r="H28">
        <f>IF($F28=1,259,IF($F28=2,448,IF($F28=3,1585,IF(F28=4,1169,1377))))</f>
        <v>448</v>
      </c>
      <c r="I28">
        <f>IF($F28=1,8,IF($F28=2,15,IF($F28=3,78,IF(F28=4,25,51.5))))</f>
        <v>15</v>
      </c>
      <c r="J28">
        <f>IF($F28=1,1367,IF($F28=2,1238,IF($F28=3,311,IF(F28=4,447,379))))</f>
        <v>1238</v>
      </c>
      <c r="K28">
        <f>IF($F28=1,11,IF($F28=2,17,IF($F28=3,2,2)))</f>
        <v>17</v>
      </c>
    </row>
    <row r="29" spans="1:11" ht="12.75">
      <c r="A29" s="164" t="s">
        <v>793</v>
      </c>
      <c r="B29" s="163">
        <v>27</v>
      </c>
      <c r="C29" s="163" t="s">
        <v>1116</v>
      </c>
      <c r="D29" s="485">
        <v>5</v>
      </c>
      <c r="E29" s="51">
        <v>5</v>
      </c>
      <c r="F29">
        <f>'Data entry'!N29</f>
        <v>2</v>
      </c>
      <c r="G29">
        <f>IF(F29=1,305,IF(F29=2,305,IF(F29=3,305,305)))</f>
        <v>305</v>
      </c>
      <c r="H29">
        <f>IF($F29=1,257,IF($F29=2,437,IF($F29=3,1528,IF(F29=4,1192,1360))))</f>
        <v>437</v>
      </c>
      <c r="I29">
        <f>IF($F29=1,23,IF($F29=2,40,IF($F29=3,177,IF(F29=4,99,138))))</f>
        <v>40</v>
      </c>
      <c r="J29">
        <f>IF($F29=1,1401,IF($F29=2,1276,IF($F29=3,379,IF(F29=4,425,402))))</f>
        <v>1276</v>
      </c>
      <c r="K29">
        <f>IF($F29=1,47,IF($F29=2,59,IF($F29=3,9,IF(F29=4,6,7.5))))</f>
        <v>59</v>
      </c>
    </row>
    <row r="30" spans="1:11" ht="12.75">
      <c r="A30" s="185" t="s">
        <v>794</v>
      </c>
      <c r="B30" s="184">
        <v>28</v>
      </c>
      <c r="C30" s="184" t="s">
        <v>1116</v>
      </c>
      <c r="D30" s="485">
        <v>5</v>
      </c>
      <c r="E30" s="51">
        <v>5</v>
      </c>
      <c r="F30">
        <f>'Data entry'!N30</f>
        <v>2</v>
      </c>
      <c r="G30">
        <f>IF(F30=1,305,IF(F30=2,305,IF(F30=3,305,305)))</f>
        <v>305</v>
      </c>
      <c r="H30">
        <f>IF($F30=1,257,IF($F30=2,437,IF($F30=3,1528,IF(F30=4,1192,1360))))</f>
        <v>437</v>
      </c>
      <c r="I30">
        <f>IF($F30=1,23,IF($F30=2,40,IF($F30=3,177,IF(F30=4,99,138))))</f>
        <v>40</v>
      </c>
      <c r="J30">
        <f>IF($F30=1,1401,IF($F30=2,1276,IF($F30=3,379,IF(F30=4,425,402))))</f>
        <v>1276</v>
      </c>
      <c r="K30">
        <f>IF($F30=1,47,IF($F30=2,59,IF($F30=3,9,IF(F30=4,6,7.5))))</f>
        <v>59</v>
      </c>
    </row>
    <row r="31" spans="1:11" ht="12.75">
      <c r="A31" s="185" t="s">
        <v>795</v>
      </c>
      <c r="B31" s="184">
        <v>29</v>
      </c>
      <c r="C31" s="184" t="s">
        <v>1116</v>
      </c>
      <c r="D31" s="485">
        <v>5</v>
      </c>
      <c r="E31" s="51">
        <v>5</v>
      </c>
      <c r="F31">
        <f>'Data entry'!N31</f>
        <v>2</v>
      </c>
      <c r="G31">
        <f>IF(F31=1,305,IF(F31=2,305,IF(F31=3,305,305)))</f>
        <v>305</v>
      </c>
      <c r="H31">
        <f>IF($F31=1,257,IF($F31=2,437,IF($F31=3,1528,IF(F31=4,1192,1360))))</f>
        <v>437</v>
      </c>
      <c r="I31">
        <f>IF($F31=1,23,IF($F31=2,40,IF($F31=3,177,IF(F31=4,99,138))))</f>
        <v>40</v>
      </c>
      <c r="J31">
        <f>IF($F31=1,1401,IF($F31=2,1276,IF($F31=3,379,IF(F31=4,425,402))))</f>
        <v>1276</v>
      </c>
      <c r="K31">
        <f>IF($F31=1,47,IF($F31=2,59,IF($F31=3,9,IF(F31=4,6,7.5))))</f>
        <v>59</v>
      </c>
    </row>
    <row r="32" spans="1:11" ht="12.75">
      <c r="A32" s="185" t="s">
        <v>796</v>
      </c>
      <c r="B32" s="184">
        <v>30</v>
      </c>
      <c r="C32" s="184" t="s">
        <v>1116</v>
      </c>
      <c r="D32" s="485">
        <v>5</v>
      </c>
      <c r="E32" s="51">
        <v>5</v>
      </c>
      <c r="F32">
        <f>'Data entry'!N32</f>
        <v>2</v>
      </c>
      <c r="G32">
        <f>IF(F32=1,305,IF(F32=2,305,IF(F32=3,305,305)))</f>
        <v>305</v>
      </c>
      <c r="H32">
        <f>IF($F32=1,257,IF($F32=2,437,IF($F32=3,1528,IF(F32=4,1192,1360))))</f>
        <v>437</v>
      </c>
      <c r="I32">
        <f>IF($F32=1,23,IF($F32=2,40,IF($F32=3,177,IF(F32=4,99,138))))</f>
        <v>40</v>
      </c>
      <c r="J32">
        <f>IF($F32=1,1401,IF($F32=2,1276,IF($F32=3,379,IF(F32=4,425,402))))</f>
        <v>1276</v>
      </c>
      <c r="K32">
        <f>IF($F32=1,47,IF($F32=2,59,IF($F32=3,9,IF(F32=4,6,7.5))))</f>
        <v>59</v>
      </c>
    </row>
    <row r="33" spans="1:11" ht="12.75">
      <c r="A33" s="185" t="s">
        <v>797</v>
      </c>
      <c r="B33" s="184">
        <v>31</v>
      </c>
      <c r="C33" s="184" t="s">
        <v>1116</v>
      </c>
      <c r="D33" s="485">
        <v>5</v>
      </c>
      <c r="E33" s="51">
        <v>5</v>
      </c>
      <c r="F33">
        <f>'Data entry'!N33</f>
        <v>2</v>
      </c>
      <c r="G33">
        <f>IF(F33=1,305,IF(F33=2,305,IF(F33=3,305,305)))</f>
        <v>305</v>
      </c>
      <c r="H33">
        <f>IF($F33=1,257,IF($F33=2,437,IF($F33=3,1528,IF(F33=4,1192,1360))))</f>
        <v>437</v>
      </c>
      <c r="I33">
        <f>IF($F33=1,23,IF($F33=2,40,IF($F33=3,177,IF(F33=4,99,138))))</f>
        <v>40</v>
      </c>
      <c r="J33">
        <f>IF($F33=1,1401,IF($F33=2,1276,IF($F33=3,379,IF(F33=4,425,402))))</f>
        <v>1276</v>
      </c>
      <c r="K33">
        <f>IF($F33=1,47,IF($F33=2,59,IF($F33=3,9,IF(F33=4,6,7.5))))</f>
        <v>59</v>
      </c>
    </row>
    <row r="34" spans="1:11" ht="12.75">
      <c r="A34" s="164">
        <v>40</v>
      </c>
      <c r="B34" s="163">
        <v>32</v>
      </c>
      <c r="C34" s="163" t="s">
        <v>1116</v>
      </c>
      <c r="D34" s="485">
        <v>3</v>
      </c>
      <c r="E34" s="51">
        <v>4</v>
      </c>
      <c r="F34">
        <f>'Data entry'!N34</f>
        <v>3</v>
      </c>
      <c r="G34">
        <f>IF(F34=1,174,IF(F34=2,174,IF(F34=3,174,174)))</f>
        <v>174</v>
      </c>
      <c r="H34">
        <f>IF($F34=1,259,IF($F34=2,448,IF($F34=3,1585,IF(F34=4,1169,1377))))</f>
        <v>1585</v>
      </c>
      <c r="I34">
        <f>IF($F34=1,8,IF($F34=2,15,IF($F34=3,78,IF(F34=4,25,51.5))))</f>
        <v>78</v>
      </c>
      <c r="J34">
        <f>IF($F34=1,1367,IF($F34=2,1238,IF($F34=3,311,IF(F34=4,447,379))))</f>
        <v>311</v>
      </c>
      <c r="K34">
        <f>IF($F34=1,11,IF($F34=2,17,IF($F34=3,2,2)))</f>
        <v>2</v>
      </c>
    </row>
    <row r="35" spans="1:11" ht="12.75">
      <c r="A35" s="164">
        <v>41</v>
      </c>
      <c r="B35" s="163">
        <v>33</v>
      </c>
      <c r="C35" s="163" t="s">
        <v>1116</v>
      </c>
      <c r="D35" s="485">
        <v>2</v>
      </c>
      <c r="E35" s="51">
        <v>3</v>
      </c>
      <c r="F35">
        <f>'Data entry'!N35</f>
        <v>3</v>
      </c>
      <c r="G35">
        <f>IF(F35=1,128,IF(F35=2,120,IF(F35=3,136,IF(F35=4,144,140))))</f>
        <v>136</v>
      </c>
      <c r="H35">
        <f>IF($F35=1,262,IF($F35=2,457,IF($F35=3,1605,IF(F35=4,1184,1395))))</f>
        <v>1605</v>
      </c>
      <c r="I35">
        <f>IF($F35=1,4,IF($F35=2,8,IF($F35=3,47,IF(F35=4,18,32))))</f>
        <v>47</v>
      </c>
      <c r="J35">
        <f>IF($F35=1,1371,IF($F35=2,1237,IF($F35=3,310,450)))</f>
        <v>310</v>
      </c>
      <c r="K35">
        <f>IF($F35=1,9,IF($F35=2,13,IF($F35=3,2,2)))</f>
        <v>2</v>
      </c>
    </row>
    <row r="36" spans="1:11" ht="12.75">
      <c r="A36" s="164" t="s">
        <v>798</v>
      </c>
      <c r="B36" s="163">
        <v>34</v>
      </c>
      <c r="C36" s="163" t="s">
        <v>1116</v>
      </c>
      <c r="D36" s="485">
        <v>3</v>
      </c>
      <c r="E36" s="51">
        <v>3</v>
      </c>
      <c r="F36">
        <f>'Data entry'!N36</f>
        <v>0</v>
      </c>
      <c r="G36">
        <f>IF(F36=1,174,IF(F36=2,174,IF(F36=3,174,174)))</f>
        <v>174</v>
      </c>
      <c r="H36">
        <f>IF($F36=1,259,IF($F36=2,448,IF($F36=3,1585,IF(F36=4,1169,1377))))</f>
        <v>1377</v>
      </c>
      <c r="I36">
        <f>IF($F36=1,8,IF($F36=2,15,IF($F36=3,78,IF(F36=4,25,51.5))))</f>
        <v>51.5</v>
      </c>
      <c r="J36">
        <f>IF($F36=1,1367,IF($F36=2,1238,IF($F36=3,311,IF(F36=4,447,379))))</f>
        <v>379</v>
      </c>
      <c r="K36">
        <f>IF($F36=1,11,IF($F36=2,17,IF($F36=3,2,2)))</f>
        <v>2</v>
      </c>
    </row>
    <row r="37" spans="1:6" ht="12.75">
      <c r="A37" s="490" t="s">
        <v>383</v>
      </c>
      <c r="B37" s="491">
        <v>35</v>
      </c>
      <c r="C37" s="491" t="s">
        <v>384</v>
      </c>
      <c r="D37" s="485"/>
      <c r="F37">
        <f>'Data entry'!N37</f>
        <v>0</v>
      </c>
    </row>
    <row r="38" spans="1:11" ht="12.75">
      <c r="A38" s="164">
        <v>44</v>
      </c>
      <c r="B38" s="163">
        <v>36</v>
      </c>
      <c r="C38" s="163" t="s">
        <v>1116</v>
      </c>
      <c r="D38" s="485">
        <v>3</v>
      </c>
      <c r="E38" s="51">
        <v>4</v>
      </c>
      <c r="F38">
        <f>'Data entry'!N38</f>
        <v>5</v>
      </c>
      <c r="G38">
        <f>IF(F38=1,174,IF(F38=2,174,IF(F38=3,174,174)))</f>
        <v>174</v>
      </c>
      <c r="H38">
        <f>IF($F38=1,259,IF($F38=2,448,IF($F38=3,1585,IF(F38=4,1169,1377))))</f>
        <v>1377</v>
      </c>
      <c r="I38">
        <f>IF($F38=1,8,IF($F38=2,15,IF($F38=3,78,IF(F38=4,25,51.5))))</f>
        <v>51.5</v>
      </c>
      <c r="J38">
        <f>IF($F38=1,1367,IF($F38=2,1238,IF($F38=3,311,IF(F38=4,447,379))))</f>
        <v>379</v>
      </c>
      <c r="K38">
        <f>IF($F38=1,11,IF($F38=2,17,IF($F38=3,2,2)))</f>
        <v>2</v>
      </c>
    </row>
    <row r="39" spans="1:11" ht="12.75">
      <c r="A39" s="164">
        <v>45</v>
      </c>
      <c r="B39" s="163">
        <v>37</v>
      </c>
      <c r="C39" s="163" t="s">
        <v>1116</v>
      </c>
      <c r="D39" s="485">
        <v>3</v>
      </c>
      <c r="E39" s="51">
        <v>4</v>
      </c>
      <c r="F39">
        <f>'Data entry'!N39</f>
        <v>2</v>
      </c>
      <c r="G39">
        <f>IF(F39=1,174,IF(F39=2,174,IF(F39=3,174,174)))</f>
        <v>174</v>
      </c>
      <c r="H39">
        <f>IF($F39=1,259,IF($F39=2,448,IF($F39=3,1585,IF(F39=4,1169,1377))))</f>
        <v>448</v>
      </c>
      <c r="I39">
        <f>IF($F39=1,8,IF($F39=2,15,IF($F39=3,78,IF(F39=4,25,51.5))))</f>
        <v>15</v>
      </c>
      <c r="J39">
        <f>IF($F39=1,1367,IF($F39=2,1238,IF($F39=3,311,IF(F39=4,447,379))))</f>
        <v>1238</v>
      </c>
      <c r="K39">
        <f>IF($F39=1,11,IF($F39=2,17,IF($F39=3,2,2)))</f>
        <v>17</v>
      </c>
    </row>
    <row r="40" spans="1:6" ht="12.75">
      <c r="A40" s="233">
        <v>46</v>
      </c>
      <c r="B40" s="232">
        <v>38</v>
      </c>
      <c r="C40" s="232" t="s">
        <v>1116</v>
      </c>
      <c r="D40" s="487"/>
      <c r="F40">
        <f>'Data entry'!N40</f>
        <v>3</v>
      </c>
    </row>
    <row r="41" spans="1:11" ht="12.75">
      <c r="A41" s="202">
        <v>47</v>
      </c>
      <c r="B41" s="201">
        <v>39</v>
      </c>
      <c r="C41" s="201" t="s">
        <v>1116</v>
      </c>
      <c r="D41" s="485">
        <v>2</v>
      </c>
      <c r="E41" s="51">
        <v>4</v>
      </c>
      <c r="F41">
        <f>'Data entry'!N41</f>
        <v>2</v>
      </c>
      <c r="G41">
        <f>IF(F41=1,128,IF(F41=2,120,IF(F41=3,136,IF(F41=4,144,140))))</f>
        <v>120</v>
      </c>
      <c r="H41">
        <f>IF($F41=1,262,IF($F41=2,457,IF($F41=3,1605,IF(F41=4,1184,1395))))</f>
        <v>457</v>
      </c>
      <c r="I41">
        <f>IF($F41=1,4,IF($F41=2,8,IF($F41=3,47,IF(F41=4,18,32))))</f>
        <v>8</v>
      </c>
      <c r="J41">
        <f>IF($F41=1,1371,IF($F41=2,1237,IF($F41=3,310,450)))</f>
        <v>1237</v>
      </c>
      <c r="K41">
        <f>IF($F41=1,9,IF($F41=2,13,IF($F41=3,2,2)))</f>
        <v>13</v>
      </c>
    </row>
    <row r="42" spans="1:6" ht="12.75">
      <c r="A42" s="233">
        <v>49</v>
      </c>
      <c r="B42" s="232">
        <v>40</v>
      </c>
      <c r="C42" s="232" t="s">
        <v>1116</v>
      </c>
      <c r="D42" s="487"/>
      <c r="F42">
        <f>'Data entry'!N42</f>
        <v>3</v>
      </c>
    </row>
    <row r="43" spans="1:11" ht="12.75">
      <c r="A43" s="164">
        <v>50</v>
      </c>
      <c r="B43" s="163">
        <v>41</v>
      </c>
      <c r="C43" s="163" t="s">
        <v>1116</v>
      </c>
      <c r="D43" s="485">
        <v>3</v>
      </c>
      <c r="E43" s="51">
        <v>3</v>
      </c>
      <c r="F43">
        <f>'Data entry'!N43</f>
        <v>0</v>
      </c>
      <c r="G43">
        <f>IF(F43=1,174,IF(F43=2,174,IF(F43=3,174,174)))</f>
        <v>174</v>
      </c>
      <c r="H43">
        <f>IF($F43=1,259,IF($F43=2,448,IF($F43=3,1585,IF(F43=4,1169,1377))))</f>
        <v>1377</v>
      </c>
      <c r="I43">
        <f>IF($F43=1,8,IF($F43=2,15,IF($F43=3,78,IF(F43=4,25,51.5))))</f>
        <v>51.5</v>
      </c>
      <c r="J43">
        <f>IF($F43=1,1367,IF($F43=2,1238,IF($F43=3,311,IF(F43=4,447,379))))</f>
        <v>379</v>
      </c>
      <c r="K43">
        <f>IF($F43=1,11,IF($F43=2,17,IF($F43=3,2,2)))</f>
        <v>2</v>
      </c>
    </row>
    <row r="44" spans="1:11" ht="12.75">
      <c r="A44" s="164">
        <v>51</v>
      </c>
      <c r="B44" s="163">
        <v>42</v>
      </c>
      <c r="C44" s="163" t="s">
        <v>1116</v>
      </c>
      <c r="D44" s="485">
        <v>5</v>
      </c>
      <c r="E44" s="51">
        <v>5</v>
      </c>
      <c r="F44">
        <f>'Data entry'!N44</f>
        <v>3</v>
      </c>
      <c r="G44">
        <f>IF(F44=1,305,IF(F44=2,305,IF(F44=3,305,305)))</f>
        <v>305</v>
      </c>
      <c r="H44">
        <f>IF($F44=1,257,IF($F44=2,437,IF($F44=3,1528,IF(F44=4,1192,1360))))</f>
        <v>1528</v>
      </c>
      <c r="I44">
        <f>IF($F44=1,23,IF($F44=2,40,IF($F44=3,177,IF(F44=4,99,138))))</f>
        <v>177</v>
      </c>
      <c r="J44">
        <f>IF($F44=1,1401,IF($F44=2,1276,IF($F44=3,379,IF(F44=4,425,402))))</f>
        <v>379</v>
      </c>
      <c r="K44">
        <f>IF($F44=1,47,IF($F44=2,59,IF($F44=3,9,IF(F44=4,6,7.5))))</f>
        <v>9</v>
      </c>
    </row>
    <row r="45" spans="1:11" ht="12.75">
      <c r="A45" s="185" t="s">
        <v>800</v>
      </c>
      <c r="B45" s="184">
        <v>43</v>
      </c>
      <c r="C45" s="184" t="s">
        <v>1116</v>
      </c>
      <c r="D45" s="485">
        <v>4</v>
      </c>
      <c r="E45" s="51">
        <v>4</v>
      </c>
      <c r="F45">
        <f>'Data entry'!N45</f>
        <v>3</v>
      </c>
      <c r="G45">
        <f>IF(F45=1,202,IF(F45=2,202,IF(F45=3,202,202)))</f>
        <v>202</v>
      </c>
      <c r="H45">
        <f>IF($F45=1,249,IF($F45=2,391,IF($F45=3,1510,IF(F45=4,1160,1335))))</f>
        <v>1510</v>
      </c>
      <c r="I45">
        <f>IF($F45=1,9,IF($F45=2,14,IF($F45=3,87,IF(F45=4,35,61))))</f>
        <v>87</v>
      </c>
      <c r="J45">
        <f>IF($F45=1,1370,IF($F45=2,1282,IF($F45=3,358,IF(F45=4,425,392))))</f>
        <v>358</v>
      </c>
      <c r="K45">
        <f>IF($F45=1,29,IF($F45=2,43,IF($F45=3,3,3)))</f>
        <v>3</v>
      </c>
    </row>
    <row r="46" spans="1:6" ht="12.75">
      <c r="A46" s="233" t="s">
        <v>801</v>
      </c>
      <c r="B46" s="232">
        <v>44</v>
      </c>
      <c r="C46" s="232" t="s">
        <v>1116</v>
      </c>
      <c r="D46" s="487"/>
      <c r="F46">
        <f>'Data entry'!N46</f>
        <v>3</v>
      </c>
    </row>
    <row r="47" spans="1:11" ht="12.75">
      <c r="A47" s="185">
        <v>53</v>
      </c>
      <c r="B47" s="184">
        <v>45</v>
      </c>
      <c r="C47" s="184" t="s">
        <v>1116</v>
      </c>
      <c r="D47" s="485">
        <v>2</v>
      </c>
      <c r="E47" s="51">
        <v>2</v>
      </c>
      <c r="F47">
        <f>'Data entry'!N47</f>
        <v>3</v>
      </c>
      <c r="G47">
        <f>IF(F47=1,128,IF(F47=2,120,IF(F47=3,136,IF(F47=4,144,140))))</f>
        <v>136</v>
      </c>
      <c r="H47">
        <f>IF($F47=1,262,IF($F47=2,457,IF($F47=3,1605,IF(F47=4,1184,1395))))</f>
        <v>1605</v>
      </c>
      <c r="I47">
        <f>IF($F47=1,4,IF($F47=2,8,IF($F47=3,47,IF(F47=4,18,32))))</f>
        <v>47</v>
      </c>
      <c r="J47">
        <f>IF($F47=1,1371,IF($F47=2,1237,IF($F47=3,310,450)))</f>
        <v>310</v>
      </c>
      <c r="K47">
        <f>IF($F47=1,9,IF($F47=2,13,IF($F47=3,2,2)))</f>
        <v>2</v>
      </c>
    </row>
    <row r="48" spans="1:11" ht="12.75">
      <c r="A48" s="164">
        <v>54</v>
      </c>
      <c r="B48" s="163">
        <v>46</v>
      </c>
      <c r="C48" s="163" t="s">
        <v>1116</v>
      </c>
      <c r="D48" s="485">
        <v>3</v>
      </c>
      <c r="E48" s="51">
        <v>3</v>
      </c>
      <c r="F48">
        <f>'Data entry'!N48</f>
        <v>3</v>
      </c>
      <c r="G48">
        <f>IF(F48=1,174,IF(F48=2,174,IF(F48=3,174,174)))</f>
        <v>174</v>
      </c>
      <c r="H48">
        <f>IF($F48=1,259,IF($F48=2,448,IF($F48=3,1585,IF(F48=4,1169,1377))))</f>
        <v>1585</v>
      </c>
      <c r="I48">
        <f>IF($F48=1,8,IF($F48=2,15,IF($F48=3,78,IF(F48=4,25,51.5))))</f>
        <v>78</v>
      </c>
      <c r="J48">
        <f>IF($F48=1,1367,IF($F48=2,1238,IF($F48=3,311,IF(F48=4,447,379))))</f>
        <v>311</v>
      </c>
      <c r="K48">
        <f>IF($F48=1,11,IF($F48=2,17,IF($F48=3,2,2)))</f>
        <v>2</v>
      </c>
    </row>
    <row r="49" spans="1:11" ht="12.75">
      <c r="A49" s="202">
        <v>59</v>
      </c>
      <c r="B49" s="201">
        <v>47</v>
      </c>
      <c r="C49" s="201" t="s">
        <v>1116</v>
      </c>
      <c r="D49" s="485">
        <v>3</v>
      </c>
      <c r="E49" s="51">
        <v>3</v>
      </c>
      <c r="F49">
        <f>'Data entry'!N49</f>
        <v>3</v>
      </c>
      <c r="G49">
        <f>IF(F49=1,174,IF(F49=2,174,IF(F49=3,174,174)))</f>
        <v>174</v>
      </c>
      <c r="H49">
        <f>IF($F49=1,259,IF($F49=2,448,IF($F49=3,1585,IF(F49=4,1169,1377))))</f>
        <v>1585</v>
      </c>
      <c r="I49">
        <f>IF($F49=1,8,IF($F49=2,15,IF($F49=3,78,IF(F49=4,25,51.5))))</f>
        <v>78</v>
      </c>
      <c r="J49">
        <f>IF($F49=1,1367,IF($F49=2,1238,IF($F49=3,311,IF(F49=4,447,379))))</f>
        <v>311</v>
      </c>
      <c r="K49">
        <f>IF($F49=1,11,IF($F49=2,17,IF($F49=3,2,2)))</f>
        <v>2</v>
      </c>
    </row>
    <row r="50" spans="1:11" ht="12.75">
      <c r="A50" s="164">
        <v>61</v>
      </c>
      <c r="B50" s="163">
        <v>48</v>
      </c>
      <c r="C50" s="182" t="s">
        <v>1116</v>
      </c>
      <c r="D50" s="485">
        <v>1</v>
      </c>
      <c r="E50" s="51">
        <v>1</v>
      </c>
      <c r="F50">
        <f>'Data entry'!N50</f>
        <v>5</v>
      </c>
      <c r="G50">
        <f>IF(F50=1,75,IF(F50=2,67,IF(F50=3,91,IF(F50=4,100,95.5))))</f>
        <v>95.5</v>
      </c>
      <c r="H50">
        <f>IF($F50=1,296,IF($F50=2,579,IF($F50=3,1708,IF(F50=4,2043,1876))))</f>
        <v>1876</v>
      </c>
      <c r="I50">
        <f>IF($F50=1,2,IF($F50=2,5,IF($F50=3,28,IF(F50=4,8,18))))</f>
        <v>18</v>
      </c>
      <c r="J50">
        <f>IF($F50=1,1360,IF($F50=2,1149,IF($F50=3,250,IF(F50=4,476,363))))</f>
        <v>363</v>
      </c>
      <c r="K50">
        <f>IF($F50=1,1,IF($F50=2,1,IF($F50=3,0.1,0.1)))</f>
        <v>0.1</v>
      </c>
    </row>
    <row r="51" spans="1:11" ht="12.75">
      <c r="A51" s="185" t="s">
        <v>802</v>
      </c>
      <c r="B51" s="184">
        <v>49</v>
      </c>
      <c r="C51" s="184" t="s">
        <v>1116</v>
      </c>
      <c r="D51" s="485">
        <v>5</v>
      </c>
      <c r="E51" s="51">
        <v>5</v>
      </c>
      <c r="F51">
        <f>'Data entry'!N51</f>
        <v>3</v>
      </c>
      <c r="G51">
        <f>IF(F51=1,305,IF(F51=2,305,IF(F51=3,305,305)))</f>
        <v>305</v>
      </c>
      <c r="H51">
        <f>IF($F51=1,257,IF($F51=2,437,IF($F51=3,1528,IF(F51=4,1192,1360))))</f>
        <v>1528</v>
      </c>
      <c r="I51">
        <f>IF($F51=1,23,IF($F51=2,40,IF($F51=3,177,IF(F51=4,99,138))))</f>
        <v>177</v>
      </c>
      <c r="J51">
        <f>IF($F51=1,1401,IF($F51=2,1276,IF($F51=3,379,IF(F51=4,425,402))))</f>
        <v>379</v>
      </c>
      <c r="K51">
        <f>IF($F51=1,47,IF($F51=2,59,IF($F51=3,9,IF(F51=4,6,7.5))))</f>
        <v>9</v>
      </c>
    </row>
    <row r="52" spans="1:11" ht="12.75">
      <c r="A52" s="185" t="s">
        <v>803</v>
      </c>
      <c r="B52" s="184">
        <v>50</v>
      </c>
      <c r="C52" s="184" t="s">
        <v>1116</v>
      </c>
      <c r="D52" s="485">
        <v>5</v>
      </c>
      <c r="E52" s="51">
        <v>5</v>
      </c>
      <c r="F52">
        <f>'Data entry'!N52</f>
        <v>3</v>
      </c>
      <c r="G52">
        <f>IF(F52=1,305,IF(F52=2,305,IF(F52=3,305,305)))</f>
        <v>305</v>
      </c>
      <c r="H52">
        <f>IF($F52=1,257,IF($F52=2,437,IF($F52=3,1528,IF(F52=4,1192,1360))))</f>
        <v>1528</v>
      </c>
      <c r="I52">
        <f>IF($F52=1,23,IF($F52=2,40,IF($F52=3,177,IF(F52=4,99,138))))</f>
        <v>177</v>
      </c>
      <c r="J52">
        <f>IF($F52=1,1401,IF($F52=2,1276,IF($F52=3,379,IF(F52=4,425,402))))</f>
        <v>379</v>
      </c>
      <c r="K52">
        <f>IF($F52=1,47,IF($F52=2,59,IF($F52=3,9,IF(F52=4,6,7.5))))</f>
        <v>9</v>
      </c>
    </row>
    <row r="53" spans="1:11" ht="12.75">
      <c r="A53" s="164">
        <v>64</v>
      </c>
      <c r="B53" s="163">
        <v>51</v>
      </c>
      <c r="C53" s="183" t="s">
        <v>1116</v>
      </c>
      <c r="D53" s="485">
        <v>1</v>
      </c>
      <c r="E53" s="51">
        <v>1</v>
      </c>
      <c r="F53">
        <f>'Data entry'!N53</f>
        <v>2</v>
      </c>
      <c r="G53">
        <f>IF(F53=1,75,IF(F53=2,67,IF(F53=3,91,IF(F53=4,100,95.5))))</f>
        <v>67</v>
      </c>
      <c r="H53">
        <f>IF($F53=1,296,IF($F53=2,579,IF($F53=3,1708,IF(F53=4,2043,1876))))</f>
        <v>579</v>
      </c>
      <c r="I53">
        <f>IF($F53=1,2,IF($F53=2,5,IF($F53=3,28,IF(F53=4,8,18))))</f>
        <v>5</v>
      </c>
      <c r="J53">
        <f>IF($F53=1,1360,IF($F53=2,1149,IF($F53=3,250,IF(F53=4,476,363))))</f>
        <v>1149</v>
      </c>
      <c r="K53">
        <f>IF($F53=1,1,IF($F53=2,1,IF($F53=3,0.1,0.1)))</f>
        <v>1</v>
      </c>
    </row>
    <row r="54" spans="1:11" ht="12.75">
      <c r="A54" s="164">
        <v>66</v>
      </c>
      <c r="B54" s="163">
        <v>52</v>
      </c>
      <c r="C54" s="183" t="s">
        <v>1116</v>
      </c>
      <c r="D54" s="485">
        <v>3</v>
      </c>
      <c r="E54" s="51">
        <v>3</v>
      </c>
      <c r="F54">
        <f>'Data entry'!N54</f>
        <v>3</v>
      </c>
      <c r="G54">
        <f>IF(F54=1,174,IF(F54=2,174,IF(F54=3,174,174)))</f>
        <v>174</v>
      </c>
      <c r="H54">
        <f>IF($F54=1,259,IF($F54=2,448,IF($F54=3,1585,IF(F54=4,1169,1377))))</f>
        <v>1585</v>
      </c>
      <c r="I54">
        <f>IF($F54=1,8,IF($F54=2,15,IF($F54=3,78,IF(F54=4,25,51.5))))</f>
        <v>78</v>
      </c>
      <c r="J54">
        <f>IF($F54=1,1367,IF($F54=2,1238,IF($F54=3,311,IF(F54=4,447,379))))</f>
        <v>311</v>
      </c>
      <c r="K54">
        <f>IF($F54=1,11,IF($F54=2,17,IF($F54=3,2,2)))</f>
        <v>2</v>
      </c>
    </row>
    <row r="55" spans="1:11" ht="12.75">
      <c r="A55" s="164">
        <v>69</v>
      </c>
      <c r="B55" s="163">
        <v>53</v>
      </c>
      <c r="C55" s="163" t="s">
        <v>1116</v>
      </c>
      <c r="D55" s="485">
        <v>3</v>
      </c>
      <c r="E55" s="51">
        <v>4</v>
      </c>
      <c r="F55">
        <f>'Data entry'!N55</f>
        <v>3</v>
      </c>
      <c r="G55">
        <f>IF(F55=1,174,IF(F55=2,174,IF(F55=3,174,174)))</f>
        <v>174</v>
      </c>
      <c r="H55">
        <f>IF($F55=1,259,IF($F55=2,448,IF($F55=3,1585,IF(F55=4,1169,1377))))</f>
        <v>1585</v>
      </c>
      <c r="I55">
        <f>IF($F55=1,8,IF($F55=2,15,IF($F55=3,78,IF(F55=4,25,51.5))))</f>
        <v>78</v>
      </c>
      <c r="J55">
        <f>IF($F55=1,1367,IF($F55=2,1238,IF($F55=3,311,IF(F55=4,447,379))))</f>
        <v>311</v>
      </c>
      <c r="K55">
        <f>IF($F55=1,11,IF($F55=2,17,IF($F55=3,2,2)))</f>
        <v>2</v>
      </c>
    </row>
    <row r="56" spans="1:11" ht="12.75">
      <c r="A56" s="164" t="s">
        <v>804</v>
      </c>
      <c r="B56" s="163">
        <v>54</v>
      </c>
      <c r="C56" s="163" t="s">
        <v>1116</v>
      </c>
      <c r="D56" s="485">
        <v>2</v>
      </c>
      <c r="E56" s="51">
        <v>3</v>
      </c>
      <c r="F56">
        <f>'Data entry'!N56</f>
        <v>3</v>
      </c>
      <c r="G56">
        <f>IF(F56=1,128,IF(F56=2,120,IF(F56=3,136,IF(F56=4,144,140))))</f>
        <v>136</v>
      </c>
      <c r="H56">
        <f>IF($F56=1,262,IF($F56=2,457,IF($F56=3,1605,IF(F56=4,1184,1395))))</f>
        <v>1605</v>
      </c>
      <c r="I56">
        <f>IF($F56=1,4,IF($F56=2,8,IF($F56=3,47,IF(F56=4,18,32))))</f>
        <v>47</v>
      </c>
      <c r="J56">
        <f>IF($F56=1,1371,IF($F56=2,1237,IF($F56=3,310,450)))</f>
        <v>310</v>
      </c>
      <c r="K56">
        <f>IF($F56=1,9,IF($F56=2,13,IF($F56=3,2,2)))</f>
        <v>2</v>
      </c>
    </row>
    <row r="57" spans="1:11" ht="12.75">
      <c r="A57" s="185" t="s">
        <v>805</v>
      </c>
      <c r="B57" s="184">
        <v>55</v>
      </c>
      <c r="C57" s="184" t="s">
        <v>1116</v>
      </c>
      <c r="D57" s="485">
        <v>2</v>
      </c>
      <c r="E57" s="51">
        <v>3</v>
      </c>
      <c r="F57">
        <f>'Data entry'!N57</f>
        <v>3</v>
      </c>
      <c r="G57">
        <f>IF(F57=1,128,IF(F57=2,120,IF(F57=3,136,IF(F57=4,144,140))))</f>
        <v>136</v>
      </c>
      <c r="H57">
        <f>IF($F57=1,262,IF($F57=2,457,IF($F57=3,1605,IF(F57=4,1184,1395))))</f>
        <v>1605</v>
      </c>
      <c r="I57">
        <f>IF($F57=1,4,IF($F57=2,8,IF($F57=3,47,IF(F57=4,18,32))))</f>
        <v>47</v>
      </c>
      <c r="J57">
        <f>IF($F57=1,1371,IF($F57=2,1237,IF($F57=3,310,450)))</f>
        <v>310</v>
      </c>
      <c r="K57">
        <f>IF($F57=1,9,IF($F57=2,13,IF($F57=3,2,2)))</f>
        <v>2</v>
      </c>
    </row>
    <row r="58" spans="1:11" ht="12.75">
      <c r="A58" s="202">
        <v>71</v>
      </c>
      <c r="B58" s="201">
        <v>56</v>
      </c>
      <c r="C58" s="201" t="s">
        <v>1116</v>
      </c>
      <c r="D58" s="485">
        <v>2</v>
      </c>
      <c r="E58" s="51">
        <v>3</v>
      </c>
      <c r="F58">
        <f>'Data entry'!N58</f>
        <v>3</v>
      </c>
      <c r="G58">
        <f>IF(F58=1,128,IF(F58=2,120,IF(F58=3,136,IF(F58=4,144,140))))</f>
        <v>136</v>
      </c>
      <c r="H58">
        <f>IF($F58=1,262,IF($F58=2,457,IF($F58=3,1605,IF(F58=4,1184,1395))))</f>
        <v>1605</v>
      </c>
      <c r="I58">
        <f>IF($F58=1,4,IF($F58=2,8,IF($F58=3,47,IF(F58=4,18,32))))</f>
        <v>47</v>
      </c>
      <c r="J58">
        <f>IF($F58=1,1371,IF($F58=2,1237,IF($F58=3,310,450)))</f>
        <v>310</v>
      </c>
      <c r="K58">
        <f>IF($F58=1,9,IF($F58=2,13,IF($F58=3,2,2)))</f>
        <v>2</v>
      </c>
    </row>
    <row r="59" spans="1:11" ht="12.75">
      <c r="A59" s="164">
        <v>72</v>
      </c>
      <c r="B59" s="163">
        <v>57</v>
      </c>
      <c r="C59" s="163" t="s">
        <v>1116</v>
      </c>
      <c r="D59" s="485">
        <v>2</v>
      </c>
      <c r="E59" s="51">
        <v>3</v>
      </c>
      <c r="F59">
        <f>'Data entry'!N59</f>
        <v>3</v>
      </c>
      <c r="G59">
        <f>IF(F59=1,128,IF(F59=2,120,IF(F59=3,136,IF(F59=4,144,140))))</f>
        <v>136</v>
      </c>
      <c r="H59">
        <f>IF($F59=1,262,IF($F59=2,457,IF($F59=3,1605,IF(F59=4,1184,1395))))</f>
        <v>1605</v>
      </c>
      <c r="I59">
        <f>IF($F59=1,4,IF($F59=2,8,IF($F59=3,47,IF(F59=4,18,32))))</f>
        <v>47</v>
      </c>
      <c r="J59">
        <f>IF($F59=1,1371,IF($F59=2,1237,IF($F59=3,310,450)))</f>
        <v>310</v>
      </c>
      <c r="K59">
        <f>IF($F59=1,9,IF($F59=2,13,IF($F59=3,2,2)))</f>
        <v>2</v>
      </c>
    </row>
    <row r="60" spans="1:11" ht="12.75">
      <c r="A60" s="164">
        <v>73</v>
      </c>
      <c r="B60" s="163">
        <v>58</v>
      </c>
      <c r="C60" s="163" t="s">
        <v>1116</v>
      </c>
      <c r="D60" s="485">
        <v>4</v>
      </c>
      <c r="E60" s="51">
        <v>4</v>
      </c>
      <c r="F60">
        <f>'Data entry'!N60</f>
        <v>3</v>
      </c>
      <c r="G60">
        <f>IF(F60=1,202,IF(F60=2,202,IF(F60=3,202,202)))</f>
        <v>202</v>
      </c>
      <c r="H60">
        <f>IF($F60=1,249,IF($F60=2,391,IF($F60=3,1510,IF(F60=4,1160,1335))))</f>
        <v>1510</v>
      </c>
      <c r="I60">
        <f>IF($F60=1,9,IF($F60=2,14,IF($F60=3,87,IF(F60=4,35,61))))</f>
        <v>87</v>
      </c>
      <c r="J60">
        <f>IF($F60=1,1370,IF($F60=2,1282,IF($F60=3,358,IF(F60=4,425,392))))</f>
        <v>358</v>
      </c>
      <c r="K60">
        <f>IF($F60=1,29,IF($F60=2,43,IF($F60=3,3,3)))</f>
        <v>3</v>
      </c>
    </row>
    <row r="61" spans="1:11" ht="12.75">
      <c r="A61" s="202">
        <v>74</v>
      </c>
      <c r="B61" s="201">
        <v>59</v>
      </c>
      <c r="C61" s="201" t="s">
        <v>1116</v>
      </c>
      <c r="D61" s="485">
        <v>2</v>
      </c>
      <c r="E61" s="51">
        <v>2</v>
      </c>
      <c r="F61">
        <f>'Data entry'!N61</f>
        <v>3</v>
      </c>
      <c r="G61">
        <f>IF(F61=1,128,IF(F61=2,120,IF(F61=3,136,IF(F61=4,144,140))))</f>
        <v>136</v>
      </c>
      <c r="H61">
        <f>IF($F61=1,262,IF($F61=2,457,IF($F61=3,1605,IF(F61=4,1184,1395))))</f>
        <v>1605</v>
      </c>
      <c r="I61">
        <f>IF($F61=1,4,IF($F61=2,8,IF($F61=3,47,IF(F61=4,18,32))))</f>
        <v>47</v>
      </c>
      <c r="J61">
        <f>IF($F61=1,1371,IF($F61=2,1237,IF($F61=3,310,450)))</f>
        <v>310</v>
      </c>
      <c r="K61">
        <f>IF($F61=1,9,IF($F61=2,13,IF($F61=3,2,2)))</f>
        <v>2</v>
      </c>
    </row>
    <row r="62" spans="1:11" ht="12.75">
      <c r="A62" s="221">
        <v>76</v>
      </c>
      <c r="B62" s="220">
        <v>60</v>
      </c>
      <c r="C62" s="220" t="s">
        <v>1116</v>
      </c>
      <c r="D62" s="485">
        <v>4</v>
      </c>
      <c r="E62" s="51">
        <v>4</v>
      </c>
      <c r="F62">
        <f>'Data entry'!N62</f>
        <v>3</v>
      </c>
      <c r="G62">
        <f>IF(F62=1,202,IF(F62=2,202,IF(F62=3,202,202)))</f>
        <v>202</v>
      </c>
      <c r="H62">
        <f>IF($F62=1,249,IF($F62=2,391,IF($F62=3,1510,IF(F62=4,1160,1335))))</f>
        <v>1510</v>
      </c>
      <c r="I62">
        <f>IF($F62=1,9,IF($F62=2,14,IF($F62=3,87,IF(F62=4,35,61))))</f>
        <v>87</v>
      </c>
      <c r="J62">
        <f>IF($F62=1,1370,IF($F62=2,1282,IF($F62=3,358,IF(F62=4,425,392))))</f>
        <v>358</v>
      </c>
      <c r="K62">
        <f>IF($F62=1,29,IF($F62=2,43,IF($F62=3,3,3)))</f>
        <v>3</v>
      </c>
    </row>
    <row r="63" spans="1:11" ht="12.75">
      <c r="A63" s="164">
        <v>77</v>
      </c>
      <c r="B63" s="163">
        <v>61</v>
      </c>
      <c r="C63" s="163" t="s">
        <v>1116</v>
      </c>
      <c r="D63" s="485">
        <v>3</v>
      </c>
      <c r="E63" s="51">
        <v>4</v>
      </c>
      <c r="F63">
        <f>'Data entry'!N63</f>
        <v>3</v>
      </c>
      <c r="G63">
        <f>IF(F63=1,174,IF(F63=2,174,IF(F63=3,174,174)))</f>
        <v>174</v>
      </c>
      <c r="H63">
        <f>IF($F63=1,259,IF($F63=2,448,IF($F63=3,1585,IF(F63=4,1169,1377))))</f>
        <v>1585</v>
      </c>
      <c r="I63">
        <f>IF($F63=1,8,IF($F63=2,15,IF($F63=3,78,IF(F63=4,25,51.5))))</f>
        <v>78</v>
      </c>
      <c r="J63">
        <f>IF($F63=1,1367,IF($F63=2,1238,IF($F63=3,311,IF(F63=4,447,379))))</f>
        <v>311</v>
      </c>
      <c r="K63">
        <f>IF($F63=1,11,IF($F63=2,17,IF($F63=3,2,2)))</f>
        <v>2</v>
      </c>
    </row>
    <row r="64" spans="1:6" ht="12.75">
      <c r="A64" s="233">
        <v>78</v>
      </c>
      <c r="B64" s="232">
        <v>62</v>
      </c>
      <c r="C64" s="232" t="s">
        <v>1116</v>
      </c>
      <c r="D64" s="487"/>
      <c r="F64">
        <f>'Data entry'!N64</f>
        <v>3</v>
      </c>
    </row>
    <row r="65" spans="1:11" ht="12.75">
      <c r="A65" s="221" t="s">
        <v>817</v>
      </c>
      <c r="B65" s="220">
        <v>63</v>
      </c>
      <c r="C65" s="220" t="s">
        <v>1116</v>
      </c>
      <c r="D65" s="485">
        <v>4</v>
      </c>
      <c r="E65" s="51">
        <v>4</v>
      </c>
      <c r="F65">
        <f>'Data entry'!N65</f>
        <v>3</v>
      </c>
      <c r="G65">
        <f>IF(F65=1,202,IF(F65=2,202,IF(F65=3,202,202)))</f>
        <v>202</v>
      </c>
      <c r="H65">
        <f>IF($F65=1,249,IF($F65=2,391,IF($F65=3,1510,IF(F65=4,1160,1335))))</f>
        <v>1510</v>
      </c>
      <c r="I65">
        <f>IF($F65=1,9,IF($F65=2,14,IF($F65=3,87,IF(F65=4,35,61))))</f>
        <v>87</v>
      </c>
      <c r="J65">
        <f>IF($F65=1,1370,IF($F65=2,1282,IF($F65=3,358,IF(F65=4,425,392))))</f>
        <v>358</v>
      </c>
      <c r="K65">
        <f>IF($F65=1,29,IF($F65=2,43,IF($F65=3,3,3)))</f>
        <v>3</v>
      </c>
    </row>
    <row r="66" spans="1:11" ht="12.75">
      <c r="A66" s="202" t="s">
        <v>818</v>
      </c>
      <c r="B66" s="201">
        <v>64</v>
      </c>
      <c r="C66" s="201" t="s">
        <v>1116</v>
      </c>
      <c r="D66" s="485">
        <v>4</v>
      </c>
      <c r="E66" s="51">
        <v>4</v>
      </c>
      <c r="F66">
        <f>'Data entry'!N66</f>
        <v>3</v>
      </c>
      <c r="G66">
        <f>IF(F66=1,202,IF(F66=2,202,IF(F66=3,202,202)))</f>
        <v>202</v>
      </c>
      <c r="H66">
        <f>IF($F66=1,249,IF($F66=2,391,IF($F66=3,1510,IF(F66=4,1160,1335))))</f>
        <v>1510</v>
      </c>
      <c r="I66">
        <f>IF($F66=1,9,IF($F66=2,14,IF($F66=3,87,IF(F66=4,35,61))))</f>
        <v>87</v>
      </c>
      <c r="J66">
        <f>IF($F66=1,1370,IF($F66=2,1282,IF($F66=3,358,IF(F66=4,425,392))))</f>
        <v>358</v>
      </c>
      <c r="K66">
        <f>IF($F66=1,29,IF($F66=2,43,IF($F66=3,3,3)))</f>
        <v>3</v>
      </c>
    </row>
    <row r="67" spans="1:11" ht="12.75">
      <c r="A67" s="185">
        <v>82</v>
      </c>
      <c r="B67" s="184">
        <v>65</v>
      </c>
      <c r="C67" s="184" t="s">
        <v>1116</v>
      </c>
      <c r="D67" s="486">
        <v>4</v>
      </c>
      <c r="F67">
        <f>'Data entry'!N67</f>
        <v>3</v>
      </c>
      <c r="G67">
        <f>IF(F67=1,202,IF(F67=2,202,IF(F67=3,202,202)))</f>
        <v>202</v>
      </c>
      <c r="H67">
        <f>IF($F67=1,249,IF($F67=2,391,IF($F67=3,1510,IF(F67=4,1160,1335))))</f>
        <v>1510</v>
      </c>
      <c r="I67">
        <f>IF($F67=1,9,IF($F67=2,14,IF($F67=3,87,IF(F67=4,35,61))))</f>
        <v>87</v>
      </c>
      <c r="J67">
        <f>IF($F67=1,1370,IF($F67=2,1282,IF($F67=3,358,IF(F67=4,425,392))))</f>
        <v>358</v>
      </c>
      <c r="K67">
        <f>IF($F67=1,29,IF($F67=2,43,IF($F67=3,3,3)))</f>
        <v>3</v>
      </c>
    </row>
    <row r="68" spans="1:11" ht="12.75">
      <c r="A68" s="164" t="s">
        <v>806</v>
      </c>
      <c r="B68" s="163">
        <v>66</v>
      </c>
      <c r="C68" s="163" t="s">
        <v>1116</v>
      </c>
      <c r="D68" s="489">
        <v>2</v>
      </c>
      <c r="E68" s="51">
        <v>2</v>
      </c>
      <c r="F68">
        <f>'Data entry'!N68</f>
        <v>3</v>
      </c>
      <c r="G68">
        <f>IF(F68=1,128,IF(F68=2,120,IF(F68=3,136,IF(F68=4,144,140))))</f>
        <v>136</v>
      </c>
      <c r="H68">
        <f>IF($F68=1,262,IF($F68=2,457,IF($F68=3,1605,IF(F68=4,1184,1395))))</f>
        <v>1605</v>
      </c>
      <c r="I68">
        <f>IF($F68=1,4,IF($F68=2,8,IF($F68=3,47,IF(F68=4,18,32))))</f>
        <v>47</v>
      </c>
      <c r="J68">
        <f>IF($F68=1,1371,IF($F68=2,1237,IF($F68=3,310,450)))</f>
        <v>310</v>
      </c>
      <c r="K68">
        <f>IF($F68=1,9,IF($F68=2,13,IF($F68=3,2,2)))</f>
        <v>2</v>
      </c>
    </row>
    <row r="69" spans="1:11" ht="12.75">
      <c r="A69" s="164" t="s">
        <v>807</v>
      </c>
      <c r="B69" s="163">
        <v>67</v>
      </c>
      <c r="C69" s="163" t="s">
        <v>1116</v>
      </c>
      <c r="D69" s="489">
        <v>2</v>
      </c>
      <c r="E69" s="51">
        <v>2</v>
      </c>
      <c r="F69">
        <f>'Data entry'!N69</f>
        <v>3</v>
      </c>
      <c r="G69">
        <f>IF(F69=1,128,IF(F69=2,120,IF(F69=3,136,IF(F69=4,144,140))))</f>
        <v>136</v>
      </c>
      <c r="H69">
        <f>IF($F69=1,262,IF($F69=2,457,IF($F69=3,1605,IF(F69=4,1184,1395))))</f>
        <v>1605</v>
      </c>
      <c r="I69">
        <f>IF($F69=1,4,IF($F69=2,8,IF($F69=3,47,IF(F69=4,18,32))))</f>
        <v>47</v>
      </c>
      <c r="J69">
        <f>IF($F69=1,1371,IF($F69=2,1237,IF($F69=3,310,450)))</f>
        <v>310</v>
      </c>
      <c r="K69">
        <f>IF($F69=1,9,IF($F69=2,13,IF($F69=3,2,2)))</f>
        <v>2</v>
      </c>
    </row>
    <row r="70" spans="1:11" ht="12.75">
      <c r="A70" s="164">
        <v>87</v>
      </c>
      <c r="B70" s="163">
        <v>68</v>
      </c>
      <c r="C70" s="163" t="s">
        <v>1116</v>
      </c>
      <c r="D70" s="489">
        <v>2</v>
      </c>
      <c r="E70" s="51">
        <v>2</v>
      </c>
      <c r="F70">
        <f>'Data entry'!N70</f>
        <v>3</v>
      </c>
      <c r="G70">
        <f>IF(F70=1,128,IF(F70=2,120,IF(F70=3,136,IF(F70=4,144,140))))</f>
        <v>136</v>
      </c>
      <c r="H70">
        <f>IF($F70=1,262,IF($F70=2,457,IF($F70=3,1605,IF(F70=4,1184,1395))))</f>
        <v>1605</v>
      </c>
      <c r="I70">
        <f>IF($F70=1,4,IF($F70=2,8,IF($F70=3,47,IF(F70=4,18,32))))</f>
        <v>47</v>
      </c>
      <c r="J70">
        <f>IF($F70=1,1371,IF($F70=2,1237,IF($F70=3,310,450)))</f>
        <v>310</v>
      </c>
      <c r="K70">
        <f>IF($F70=1,9,IF($F70=2,13,IF($F70=3,2,2)))</f>
        <v>2</v>
      </c>
    </row>
    <row r="71" spans="1:11" ht="12.75">
      <c r="A71" s="202">
        <v>88</v>
      </c>
      <c r="B71" s="201">
        <v>69</v>
      </c>
      <c r="C71" s="201" t="s">
        <v>1116</v>
      </c>
      <c r="D71" s="486">
        <v>4</v>
      </c>
      <c r="E71" s="51">
        <v>5</v>
      </c>
      <c r="F71">
        <f>'Data entry'!N71</f>
        <v>3</v>
      </c>
      <c r="G71">
        <f>IF(F71=1,202,IF(F71=2,202,IF(F71=3,202,202)))</f>
        <v>202</v>
      </c>
      <c r="H71">
        <f>IF($F71=1,249,IF($F71=2,391,IF($F71=3,1510,IF(F71=4,1160,1335))))</f>
        <v>1510</v>
      </c>
      <c r="I71">
        <f>IF($F71=1,9,IF($F71=2,14,IF($F71=3,87,IF(F71=4,35,61))))</f>
        <v>87</v>
      </c>
      <c r="J71">
        <f>IF($F71=1,1370,IF($F71=2,1282,IF($F71=3,358,IF(F71=4,425,392))))</f>
        <v>358</v>
      </c>
      <c r="K71">
        <f>IF($F71=1,29,IF($F71=2,43,IF($F71=3,3,3)))</f>
        <v>3</v>
      </c>
    </row>
    <row r="72" spans="1:11" ht="12.75">
      <c r="A72" s="164">
        <v>89</v>
      </c>
      <c r="B72" s="163">
        <v>70</v>
      </c>
      <c r="C72" s="163" t="s">
        <v>1116</v>
      </c>
      <c r="D72" s="485">
        <v>3</v>
      </c>
      <c r="E72" s="51">
        <v>3</v>
      </c>
      <c r="F72">
        <f>'Data entry'!N72</f>
        <v>3</v>
      </c>
      <c r="G72">
        <f>IF(F72=1,174,IF(F72=2,174,IF(F72=3,174,174)))</f>
        <v>174</v>
      </c>
      <c r="H72">
        <f>IF($F72=1,259,IF($F72=2,448,IF($F72=3,1585,IF(F72=4,1169,1377))))</f>
        <v>1585</v>
      </c>
      <c r="I72">
        <f>IF($F72=1,8,IF($F72=2,15,IF($F72=3,78,IF(F72=4,25,51.5))))</f>
        <v>78</v>
      </c>
      <c r="J72">
        <f>IF($F72=1,1367,IF($F72=2,1238,IF($F72=3,311,IF(F72=4,447,379))))</f>
        <v>311</v>
      </c>
      <c r="K72">
        <f>IF($F72=1,11,IF($F72=2,17,IF($F72=3,2,2)))</f>
        <v>2</v>
      </c>
    </row>
    <row r="73" spans="1:6" ht="12.75">
      <c r="A73" s="233">
        <v>90</v>
      </c>
      <c r="B73" s="232">
        <v>71</v>
      </c>
      <c r="C73" s="232" t="s">
        <v>1116</v>
      </c>
      <c r="D73" s="487"/>
      <c r="F73">
        <f>'Data entry'!N73</f>
        <v>3</v>
      </c>
    </row>
    <row r="74" spans="1:6" ht="12.75">
      <c r="A74" s="233">
        <v>91</v>
      </c>
      <c r="B74" s="232">
        <v>72</v>
      </c>
      <c r="C74" s="232" t="s">
        <v>1116</v>
      </c>
      <c r="D74" s="487"/>
      <c r="F74">
        <f>'Data entry'!N74</f>
        <v>3</v>
      </c>
    </row>
    <row r="75" spans="1:6" ht="12.75">
      <c r="A75" s="233">
        <v>92</v>
      </c>
      <c r="B75" s="232">
        <v>73</v>
      </c>
      <c r="C75" s="232" t="s">
        <v>1116</v>
      </c>
      <c r="D75" s="487"/>
      <c r="F75">
        <f>'Data entry'!N75</f>
        <v>3</v>
      </c>
    </row>
    <row r="76" spans="1:6" ht="12.75">
      <c r="A76" s="233">
        <v>93</v>
      </c>
      <c r="B76" s="232">
        <v>74</v>
      </c>
      <c r="C76" s="232" t="s">
        <v>1116</v>
      </c>
      <c r="D76" s="487"/>
      <c r="F76">
        <f>'Data entry'!N76</f>
        <v>3</v>
      </c>
    </row>
    <row r="77" spans="1:11" ht="12.75">
      <c r="A77" s="164" t="s">
        <v>13</v>
      </c>
      <c r="B77" s="163">
        <v>75</v>
      </c>
      <c r="C77" s="183" t="s">
        <v>1116</v>
      </c>
      <c r="D77" s="485">
        <v>2</v>
      </c>
      <c r="E77" s="51">
        <v>4</v>
      </c>
      <c r="F77">
        <f>'Data entry'!N77</f>
        <v>5</v>
      </c>
      <c r="G77">
        <f>IF(F77=1,128,IF(F77=2,120,IF(F77=3,136,IF(F77=4,144,140))))</f>
        <v>140</v>
      </c>
      <c r="H77">
        <f>IF($F77=1,262,IF($F77=2,457,IF($F77=3,1605,IF(F77=4,1184,1395))))</f>
        <v>1395</v>
      </c>
      <c r="I77">
        <f>IF($F77=1,4,IF($F77=2,8,IF($F77=3,47,IF(F77=4,18,32))))</f>
        <v>32</v>
      </c>
      <c r="J77">
        <f>IF($F77=1,1371,IF($F77=2,1237,IF($F77=3,310,450)))</f>
        <v>450</v>
      </c>
      <c r="K77">
        <f>IF($F77=1,9,IF($F77=2,13,IF($F77=3,2,2)))</f>
        <v>2</v>
      </c>
    </row>
    <row r="78" spans="1:11" ht="12.75">
      <c r="A78" s="164" t="s">
        <v>819</v>
      </c>
      <c r="B78" s="163">
        <v>76</v>
      </c>
      <c r="C78" s="183" t="s">
        <v>1116</v>
      </c>
      <c r="D78" s="485">
        <v>1</v>
      </c>
      <c r="E78" s="51">
        <v>1</v>
      </c>
      <c r="F78">
        <f>'Data entry'!N78</f>
        <v>5</v>
      </c>
      <c r="G78">
        <f>IF(F78=1,75,IF(F78=2,67,IF(F78=3,91,IF(F78=4,100,95.5))))</f>
        <v>95.5</v>
      </c>
      <c r="H78">
        <f>IF($F78=1,296,IF($F78=2,579,IF($F78=3,1708,IF(F78=4,2043,1876))))</f>
        <v>1876</v>
      </c>
      <c r="I78">
        <f>IF($F78=1,2,IF($F78=2,5,IF($F78=3,28,IF(F78=4,8,18))))</f>
        <v>18</v>
      </c>
      <c r="J78">
        <f>IF($F78=1,1360,IF($F78=2,1149,IF($F78=3,250,IF(F78=4,476,363))))</f>
        <v>363</v>
      </c>
      <c r="K78">
        <f>IF($F78=1,1,IF($F78=2,1,IF($F78=3,0.1,0.1)))</f>
        <v>0.1</v>
      </c>
    </row>
    <row r="79" spans="1:11" ht="12.75">
      <c r="A79" s="164" t="s">
        <v>820</v>
      </c>
      <c r="B79" s="163">
        <v>77</v>
      </c>
      <c r="C79" s="183" t="s">
        <v>1116</v>
      </c>
      <c r="D79" s="485">
        <v>1</v>
      </c>
      <c r="E79" s="51">
        <v>1</v>
      </c>
      <c r="F79">
        <f>'Data entry'!N79</f>
        <v>5</v>
      </c>
      <c r="G79">
        <f>IF(F79=1,75,IF(F79=2,67,IF(F79=3,91,IF(F79=4,100,95.5))))</f>
        <v>95.5</v>
      </c>
      <c r="H79">
        <f>IF($F79=1,296,IF($F79=2,579,IF($F79=3,1708,IF(F79=4,2043,1876))))</f>
        <v>1876</v>
      </c>
      <c r="I79">
        <f>IF($F79=1,2,IF($F79=2,5,IF($F79=3,28,IF(F79=4,8,18))))</f>
        <v>18</v>
      </c>
      <c r="J79">
        <f>IF($F79=1,1360,IF($F79=2,1149,IF($F79=3,250,IF(F79=4,476,363))))</f>
        <v>363</v>
      </c>
      <c r="K79">
        <f>IF($F79=1,1,IF($F79=2,1,IF($F79=3,0.1,0.1)))</f>
        <v>0.1</v>
      </c>
    </row>
    <row r="80" spans="1:11" ht="12.75">
      <c r="A80" s="185" t="s">
        <v>821</v>
      </c>
      <c r="B80" s="184">
        <v>78</v>
      </c>
      <c r="C80" s="184" t="s">
        <v>1116</v>
      </c>
      <c r="D80" s="485">
        <v>3</v>
      </c>
      <c r="E80" s="51">
        <v>3</v>
      </c>
      <c r="F80">
        <f>'Data entry'!N80</f>
        <v>3</v>
      </c>
      <c r="G80">
        <f>IF(F80=1,174,IF(F80=2,174,IF(F80=3,174,174)))</f>
        <v>174</v>
      </c>
      <c r="H80">
        <f>IF($F80=1,259,IF($F80=2,448,IF($F80=3,1585,IF(F80=4,1169,1377))))</f>
        <v>1585</v>
      </c>
      <c r="I80">
        <f>IF($F80=1,8,IF($F80=2,15,IF($F80=3,78,IF(F80=4,25,51.5))))</f>
        <v>78</v>
      </c>
      <c r="J80">
        <f>IF($F80=1,1367,IF($F80=2,1238,IF($F80=3,311,IF(F80=4,447,379))))</f>
        <v>311</v>
      </c>
      <c r="K80">
        <f>IF($F80=1,11,IF($F80=2,17,IF($F80=3,2,2)))</f>
        <v>2</v>
      </c>
    </row>
    <row r="81" spans="1:11" ht="12.75">
      <c r="A81" s="185" t="s">
        <v>822</v>
      </c>
      <c r="B81" s="184">
        <v>79</v>
      </c>
      <c r="C81" s="184" t="s">
        <v>1116</v>
      </c>
      <c r="D81" s="485">
        <v>3</v>
      </c>
      <c r="E81" s="51">
        <v>3</v>
      </c>
      <c r="F81">
        <f>'Data entry'!N81</f>
        <v>3</v>
      </c>
      <c r="G81">
        <f>IF(F81=1,174,IF(F81=2,174,IF(F81=3,174,174)))</f>
        <v>174</v>
      </c>
      <c r="H81">
        <f>IF($F81=1,259,IF($F81=2,448,IF($F81=3,1585,IF(F81=4,1169,1377))))</f>
        <v>1585</v>
      </c>
      <c r="I81">
        <f>IF($F81=1,8,IF($F81=2,15,IF($F81=3,78,IF(F81=4,25,51.5))))</f>
        <v>78</v>
      </c>
      <c r="J81">
        <f>IF($F81=1,1367,IF($F81=2,1238,IF($F81=3,311,IF(F81=4,447,379))))</f>
        <v>311</v>
      </c>
      <c r="K81">
        <f>IF($F81=1,11,IF($F81=2,17,IF($F81=3,2,2)))</f>
        <v>2</v>
      </c>
    </row>
    <row r="82" spans="1:11" ht="12.75">
      <c r="A82" s="185">
        <v>101</v>
      </c>
      <c r="B82" s="184">
        <v>80</v>
      </c>
      <c r="C82" s="184" t="s">
        <v>1116</v>
      </c>
      <c r="D82" s="485">
        <v>2</v>
      </c>
      <c r="E82" s="51">
        <v>3</v>
      </c>
      <c r="F82">
        <f>'Data entry'!N82</f>
        <v>4</v>
      </c>
      <c r="G82">
        <f>IF(F82=1,128,IF(F82=2,120,IF(F82=3,136,IF(F82=4,144,140))))</f>
        <v>144</v>
      </c>
      <c r="H82">
        <f>IF($F82=1,262,IF($F82=2,457,IF($F82=3,1605,IF(F82=4,1184,1395))))</f>
        <v>1184</v>
      </c>
      <c r="I82">
        <f>IF($F82=1,4,IF($F82=2,8,IF($F82=3,47,IF(F82=4,18,32))))</f>
        <v>18</v>
      </c>
      <c r="J82">
        <f>IF($F82=1,1371,IF($F82=2,1237,IF($F82=3,310,450)))</f>
        <v>450</v>
      </c>
      <c r="K82">
        <f>IF($F82=1,9,IF($F82=2,13,IF($F82=3,2,2)))</f>
        <v>2</v>
      </c>
    </row>
    <row r="83" spans="1:11" ht="12.75">
      <c r="A83" s="221">
        <v>102</v>
      </c>
      <c r="B83" s="220">
        <v>81</v>
      </c>
      <c r="C83" s="263" t="s">
        <v>1116</v>
      </c>
      <c r="D83" s="485">
        <v>4</v>
      </c>
      <c r="E83" s="51">
        <v>5</v>
      </c>
      <c r="F83">
        <f>'Data entry'!N83</f>
        <v>3</v>
      </c>
      <c r="G83">
        <f>IF(F83=1,202,IF(F83=2,202,IF(F83=3,202,202)))</f>
        <v>202</v>
      </c>
      <c r="H83">
        <f>IF($F83=1,249,IF($F83=2,391,IF($F83=3,1510,IF(F83=4,1160,1335))))</f>
        <v>1510</v>
      </c>
      <c r="I83">
        <f>IF($F83=1,9,IF($F83=2,14,IF($F83=3,87,IF(F83=4,35,61))))</f>
        <v>87</v>
      </c>
      <c r="J83">
        <f>IF($F83=1,1370,IF($F83=2,1282,IF($F83=3,358,IF(F83=4,425,392))))</f>
        <v>358</v>
      </c>
      <c r="K83">
        <f>IF($F83=1,29,IF($F83=2,43,IF($F83=3,3,3)))</f>
        <v>3</v>
      </c>
    </row>
    <row r="84" spans="1:11" ht="12.75">
      <c r="A84" s="202">
        <v>104</v>
      </c>
      <c r="B84" s="201">
        <v>82</v>
      </c>
      <c r="C84" s="264" t="s">
        <v>1116</v>
      </c>
      <c r="D84" s="485">
        <v>2</v>
      </c>
      <c r="E84" s="51">
        <v>5</v>
      </c>
      <c r="F84">
        <f>'Data entry'!N84</f>
        <v>3</v>
      </c>
      <c r="G84">
        <f>IF(F84=1,128,IF(F84=2,120,IF(F84=3,136,IF(F84=4,144,140))))</f>
        <v>136</v>
      </c>
      <c r="H84">
        <f>IF($F84=1,262,IF($F84=2,457,IF($F84=3,1605,IF(F84=4,1184,1395))))</f>
        <v>1605</v>
      </c>
      <c r="I84">
        <f>IF($F84=1,4,IF($F84=2,8,IF($F84=3,47,IF(F84=4,18,32))))</f>
        <v>47</v>
      </c>
      <c r="J84">
        <f>IF($F84=1,1371,IF($F84=2,1237,IF($F84=3,310,450)))</f>
        <v>310</v>
      </c>
      <c r="K84">
        <f>IF($F84=1,9,IF($F84=2,13,IF($F84=3,2,2)))</f>
        <v>2</v>
      </c>
    </row>
    <row r="85" spans="1:11" ht="12.75">
      <c r="A85" s="202" t="s">
        <v>784</v>
      </c>
      <c r="B85" s="201">
        <v>83</v>
      </c>
      <c r="C85" s="201" t="s">
        <v>1116</v>
      </c>
      <c r="D85" s="485">
        <v>4</v>
      </c>
      <c r="E85" s="51">
        <v>4</v>
      </c>
      <c r="F85">
        <f>'Data entry'!N85</f>
        <v>3</v>
      </c>
      <c r="G85">
        <f>IF(F85=1,202,IF(F85=2,202,IF(F85=3,202,202)))</f>
        <v>202</v>
      </c>
      <c r="H85">
        <f>IF($F85=1,249,IF($F85=2,391,IF($F85=3,1510,IF(F85=4,1160,1335))))</f>
        <v>1510</v>
      </c>
      <c r="I85">
        <f>IF($F85=1,9,IF($F85=2,14,IF($F85=3,87,IF(F85=4,35,61))))</f>
        <v>87</v>
      </c>
      <c r="J85">
        <f>IF($F85=1,1370,IF($F85=2,1282,IF($F85=3,358,IF(F85=4,425,392))))</f>
        <v>358</v>
      </c>
      <c r="K85">
        <f>IF($F85=1,29,IF($F85=2,43,IF($F85=3,3,3)))</f>
        <v>3</v>
      </c>
    </row>
    <row r="86" spans="1:11" ht="12.75">
      <c r="A86" s="221" t="s">
        <v>785</v>
      </c>
      <c r="B86" s="220">
        <v>84</v>
      </c>
      <c r="C86" s="220" t="s">
        <v>1116</v>
      </c>
      <c r="D86" s="485">
        <v>4</v>
      </c>
      <c r="E86" s="51">
        <v>4</v>
      </c>
      <c r="F86">
        <f>'Data entry'!N86</f>
        <v>3</v>
      </c>
      <c r="G86">
        <f>IF(F86=1,202,IF(F86=2,202,IF(F86=3,202,202)))</f>
        <v>202</v>
      </c>
      <c r="H86">
        <f>IF($F86=1,249,IF($F86=2,391,IF($F86=3,1510,IF(F86=4,1160,1335))))</f>
        <v>1510</v>
      </c>
      <c r="I86">
        <f>IF($F86=1,9,IF($F86=2,14,IF($F86=3,87,IF(F86=4,35,61))))</f>
        <v>87</v>
      </c>
      <c r="J86">
        <f>IF($F86=1,1370,IF($F86=2,1282,IF($F86=3,358,IF(F86=4,425,392))))</f>
        <v>358</v>
      </c>
      <c r="K86">
        <f>IF($F86=1,29,IF($F86=2,43,IF($F86=3,3,3)))</f>
        <v>3</v>
      </c>
    </row>
    <row r="87" spans="1:11" ht="12.75">
      <c r="A87" s="289" t="s">
        <v>786</v>
      </c>
      <c r="B87" s="290">
        <v>85</v>
      </c>
      <c r="C87" s="290" t="s">
        <v>1116</v>
      </c>
      <c r="D87" s="485">
        <v>4</v>
      </c>
      <c r="E87" s="51">
        <v>4</v>
      </c>
      <c r="F87">
        <f>'Data entry'!N87</f>
        <v>3</v>
      </c>
      <c r="G87">
        <f>IF(F87=1,202,IF(F87=2,202,IF(F87=3,202,202)))</f>
        <v>202</v>
      </c>
      <c r="H87">
        <f>IF($F87=1,249,IF($F87=2,391,IF($F87=3,1510,IF(F87=4,1160,1335))))</f>
        <v>1510</v>
      </c>
      <c r="I87">
        <f>IF($F87=1,9,IF($F87=2,14,IF($F87=3,87,IF(F87=4,35,61))))</f>
        <v>87</v>
      </c>
      <c r="J87">
        <f>IF($F87=1,1370,IF($F87=2,1282,IF($F87=3,358,IF(F87=4,425,392))))</f>
        <v>358</v>
      </c>
      <c r="K87">
        <f>IF($F87=1,29,IF($F87=2,43,IF($F87=3,3,3)))</f>
        <v>3</v>
      </c>
    </row>
    <row r="88" spans="1:11" ht="12.75">
      <c r="A88" s="205" t="s">
        <v>750</v>
      </c>
      <c r="B88" s="621">
        <v>86</v>
      </c>
      <c r="C88" s="205" t="s">
        <v>1116</v>
      </c>
      <c r="D88" s="608">
        <v>3</v>
      </c>
      <c r="E88" s="1">
        <v>4</v>
      </c>
      <c r="F88">
        <f>'Data entry'!N88</f>
        <v>3</v>
      </c>
      <c r="G88">
        <f>IF(F88=1,202,IF(F88=2,202,IF(F88=3,202,202)))</f>
        <v>202</v>
      </c>
      <c r="H88">
        <f>IF($F88=1,249,IF($F88=2,391,IF($F88=3,1510,IF(F88=4,1160,1335))))</f>
        <v>1510</v>
      </c>
      <c r="I88">
        <f>IF($F88=1,9,IF($F88=2,14,IF($F88=3,87,IF(F88=4,35,61))))</f>
        <v>87</v>
      </c>
      <c r="J88">
        <f>IF($F88=1,1370,IF($F88=2,1282,IF($F88=3,358,IF(F88=4,425,392))))</f>
        <v>358</v>
      </c>
      <c r="K88">
        <f>IF($F88=1,29,IF($F88=2,43,IF($F88=3,3,3)))</f>
        <v>3</v>
      </c>
    </row>
    <row r="89" spans="1:11" ht="12.75">
      <c r="A89">
        <v>84</v>
      </c>
      <c r="B89">
        <v>87</v>
      </c>
      <c r="C89" s="658" t="s">
        <v>1116</v>
      </c>
      <c r="D89" s="608">
        <v>1</v>
      </c>
      <c r="E89" s="1">
        <v>4</v>
      </c>
      <c r="F89">
        <f>'Data entry'!N89</f>
        <v>3</v>
      </c>
      <c r="G89">
        <f>IF(F89=1,202,IF(F89=2,202,IF(F89=3,202,202)))</f>
        <v>202</v>
      </c>
      <c r="H89">
        <f>IF($F89=1,249,IF($F89=2,391,IF($F89=3,1510,IF(F89=4,1160,1335))))</f>
        <v>1510</v>
      </c>
      <c r="I89">
        <f>IF($F89=1,9,IF($F89=2,14,IF($F89=3,87,IF(F89=4,35,61))))</f>
        <v>87</v>
      </c>
      <c r="J89">
        <f>IF($F89=1,1370,IF($F89=2,1282,IF($F89=3,358,IF(F89=4,425,392))))</f>
        <v>358</v>
      </c>
      <c r="K89">
        <f>IF($F89=1,29,IF($F89=2,43,IF($F89=3,3,3)))</f>
        <v>3</v>
      </c>
    </row>
  </sheetData>
  <sheetProtection/>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Q90"/>
  <sheetViews>
    <sheetView zoomScalePageLayoutView="0" workbookViewId="0" topLeftCell="A1">
      <pane xSplit="3" ySplit="2" topLeftCell="D3" activePane="bottomRight" state="frozen"/>
      <selection pane="topLeft" activeCell="A1" sqref="A1"/>
      <selection pane="topRight" activeCell="D1" sqref="D1"/>
      <selection pane="bottomLeft" activeCell="A11" sqref="A11"/>
      <selection pane="bottomRight" activeCell="L8" sqref="L8"/>
    </sheetView>
  </sheetViews>
  <sheetFormatPr defaultColWidth="9.140625" defaultRowHeight="12.75"/>
  <cols>
    <col min="2" max="2" width="12.8515625" style="0" customWidth="1"/>
    <col min="3" max="3" width="21.421875" style="0" customWidth="1"/>
    <col min="4" max="4" width="17.00390625" style="0" customWidth="1"/>
    <col min="5" max="5" width="14.8515625" style="0" customWidth="1"/>
    <col min="6" max="7" width="15.7109375" style="0" customWidth="1"/>
    <col min="8" max="8" width="20.00390625" style="0" customWidth="1"/>
    <col min="9" max="9" width="10.421875" style="0" customWidth="1"/>
    <col min="11" max="11" width="9.00390625" style="61" customWidth="1"/>
    <col min="12" max="12" width="12.00390625" style="46" customWidth="1"/>
    <col min="15" max="15" width="17.8515625" style="0" customWidth="1"/>
    <col min="16" max="16" width="11.00390625" style="0" customWidth="1"/>
    <col min="17" max="17" width="16.140625" style="0" customWidth="1"/>
  </cols>
  <sheetData>
    <row r="1" spans="1:12" ht="54.75" customHeight="1">
      <c r="A1" s="24"/>
      <c r="B1" s="16" t="s">
        <v>695</v>
      </c>
      <c r="C1" s="16" t="s">
        <v>696</v>
      </c>
      <c r="D1" s="16" t="s">
        <v>487</v>
      </c>
      <c r="E1" s="16" t="s">
        <v>488</v>
      </c>
      <c r="F1" s="16" t="s">
        <v>355</v>
      </c>
      <c r="G1" s="16" t="s">
        <v>318</v>
      </c>
      <c r="H1" s="73" t="s">
        <v>489</v>
      </c>
      <c r="I1" s="75" t="s">
        <v>358</v>
      </c>
      <c r="J1" s="805" t="s">
        <v>359</v>
      </c>
      <c r="K1" s="61" t="s">
        <v>360</v>
      </c>
      <c r="L1" s="32" t="s">
        <v>487</v>
      </c>
    </row>
    <row r="2" spans="1:13" ht="51">
      <c r="A2" s="8"/>
      <c r="B2" s="29" t="s">
        <v>770</v>
      </c>
      <c r="C2" s="29" t="s">
        <v>770</v>
      </c>
      <c r="D2" s="29" t="s">
        <v>356</v>
      </c>
      <c r="E2" s="29" t="s">
        <v>357</v>
      </c>
      <c r="F2" s="29" t="s">
        <v>357</v>
      </c>
      <c r="G2" s="29" t="s">
        <v>319</v>
      </c>
      <c r="H2" s="74" t="s">
        <v>490</v>
      </c>
      <c r="I2" s="158" t="s">
        <v>47</v>
      </c>
      <c r="J2" s="805"/>
      <c r="K2" s="306" t="s">
        <v>361</v>
      </c>
      <c r="L2" s="440" t="s">
        <v>361</v>
      </c>
      <c r="M2" t="s">
        <v>649</v>
      </c>
    </row>
    <row r="3" spans="1:13" ht="12.75">
      <c r="A3" s="63">
        <f>'Data entry'!B3</f>
        <v>1</v>
      </c>
      <c r="B3" s="64">
        <f>'Data entry'!A3</f>
        <v>1</v>
      </c>
      <c r="C3" s="33" t="str">
        <f>'Data entry'!C3</f>
        <v>Name removed</v>
      </c>
      <c r="D3" s="157">
        <f>'current bses'!C3</f>
        <v>2.225</v>
      </c>
      <c r="E3" s="157">
        <f>'current bses'!F3</f>
        <v>1.4375</v>
      </c>
      <c r="F3" s="157">
        <f>'current bses'!I3</f>
        <v>1.15</v>
      </c>
      <c r="G3" s="157"/>
      <c r="H3" s="58" t="str">
        <f>'Data entry'!U3</f>
        <v>FLR,  Photo, Invoice</v>
      </c>
      <c r="I3" s="132">
        <f>'Data entry'!W3</f>
        <v>3.75</v>
      </c>
      <c r="J3" s="78">
        <f aca="true" t="shared" si="0" ref="J3:J66">D3+E3+F3+I3</f>
        <v>8.5625</v>
      </c>
      <c r="K3" s="61">
        <f>J3/15</f>
        <v>0.5708333333333333</v>
      </c>
      <c r="L3" s="46">
        <f>D3/5</f>
        <v>0.445</v>
      </c>
      <c r="M3" s="61">
        <f>K3</f>
        <v>0.5708333333333333</v>
      </c>
    </row>
    <row r="4" spans="1:17" ht="12.75">
      <c r="A4" s="63">
        <f>'Data entry'!B4</f>
        <v>2</v>
      </c>
      <c r="B4" s="64">
        <f>'Data entry'!A4</f>
        <v>2</v>
      </c>
      <c r="C4" s="33" t="str">
        <f>'Data entry'!C4</f>
        <v>Name removed</v>
      </c>
      <c r="D4" s="157">
        <f>'current bses'!C4</f>
        <v>1.88125</v>
      </c>
      <c r="E4" s="157">
        <f>'current bses'!F4</f>
        <v>1.075</v>
      </c>
      <c r="F4" s="157">
        <f>'current bses'!I4</f>
        <v>1.15</v>
      </c>
      <c r="G4" s="157"/>
      <c r="H4" s="58" t="str">
        <f>'Data entry'!U4</f>
        <v>FLR,  Photo, Invoice, Diary</v>
      </c>
      <c r="I4" s="132">
        <f>'Data entry'!W4</f>
        <v>3.75</v>
      </c>
      <c r="J4" s="78">
        <f t="shared" si="0"/>
        <v>7.856249999999999</v>
      </c>
      <c r="K4" s="61">
        <f aca="true" t="shared" si="1" ref="K4:K67">J4/15</f>
        <v>0.5237499999999999</v>
      </c>
      <c r="L4" s="46">
        <f aca="true" t="shared" si="2" ref="L4:L67">D4/5</f>
        <v>0.37625000000000003</v>
      </c>
      <c r="M4" s="61">
        <f aca="true" t="shared" si="3" ref="M4:M67">K4</f>
        <v>0.5237499999999999</v>
      </c>
      <c r="N4" s="515" t="s">
        <v>403</v>
      </c>
      <c r="O4" s="516"/>
      <c r="P4" s="516"/>
      <c r="Q4" s="517"/>
    </row>
    <row r="5" spans="1:17" ht="12.75">
      <c r="A5" s="63">
        <f>'Data entry'!B5</f>
        <v>3</v>
      </c>
      <c r="B5" s="64">
        <f>'Data entry'!A5</f>
        <v>3</v>
      </c>
      <c r="C5" s="33" t="str">
        <f>'Data entry'!C5</f>
        <v>Name removed</v>
      </c>
      <c r="D5" s="157">
        <f>'current bses'!C5</f>
        <v>2.73125</v>
      </c>
      <c r="E5" s="157">
        <f>'current bses'!F5</f>
        <v>1.075</v>
      </c>
      <c r="F5" s="157">
        <f>'current bses'!I5</f>
        <v>0.3</v>
      </c>
      <c r="G5" s="157"/>
      <c r="H5" s="58" t="str">
        <f>'Data entry'!U5</f>
        <v>FLR,  Photo, Invoice</v>
      </c>
      <c r="I5" s="132">
        <f>'Data entry'!W5</f>
        <v>3.75</v>
      </c>
      <c r="J5" s="78">
        <f t="shared" si="0"/>
        <v>7.85625</v>
      </c>
      <c r="K5" s="61">
        <f t="shared" si="1"/>
        <v>0.52375</v>
      </c>
      <c r="L5" s="46">
        <f t="shared" si="2"/>
        <v>0.54625</v>
      </c>
      <c r="M5" s="61">
        <f t="shared" si="3"/>
        <v>0.52375</v>
      </c>
      <c r="N5" s="518" t="s">
        <v>684</v>
      </c>
      <c r="O5" s="316" t="s">
        <v>684</v>
      </c>
      <c r="P5" s="316" t="s">
        <v>404</v>
      </c>
      <c r="Q5" s="519" t="s">
        <v>405</v>
      </c>
    </row>
    <row r="6" spans="1:17" ht="12.75">
      <c r="A6" s="63">
        <f>'Data entry'!B6</f>
        <v>4</v>
      </c>
      <c r="B6" s="64">
        <f>'Data entry'!A6</f>
        <v>4</v>
      </c>
      <c r="C6" s="33" t="str">
        <f>'Data entry'!C6</f>
        <v>Name removed</v>
      </c>
      <c r="D6" s="157">
        <f>'current bses'!C6</f>
        <v>3.7</v>
      </c>
      <c r="E6" s="157">
        <f>'current bses'!F6</f>
        <v>1.85</v>
      </c>
      <c r="F6" s="157">
        <f>'current bses'!I6</f>
        <v>0.4</v>
      </c>
      <c r="G6" s="157"/>
      <c r="H6" s="58" t="str">
        <f>'Data entry'!U6</f>
        <v>Photo, invoice</v>
      </c>
      <c r="I6" s="132">
        <f>'Data entry'!W6</f>
        <v>2.5</v>
      </c>
      <c r="J6" s="78">
        <f t="shared" si="0"/>
        <v>8.450000000000001</v>
      </c>
      <c r="K6" s="61">
        <f t="shared" si="1"/>
        <v>0.5633333333333334</v>
      </c>
      <c r="L6" s="46">
        <f t="shared" si="2"/>
        <v>0.74</v>
      </c>
      <c r="M6" s="61">
        <f t="shared" si="3"/>
        <v>0.5633333333333334</v>
      </c>
      <c r="N6" s="518" t="s">
        <v>404</v>
      </c>
      <c r="O6" s="316" t="s">
        <v>406</v>
      </c>
      <c r="P6" s="316">
        <v>1</v>
      </c>
      <c r="Q6" s="519">
        <v>0.6481799475493932</v>
      </c>
    </row>
    <row r="7" spans="1:17" ht="12.75">
      <c r="A7" s="63">
        <f>'Data entry'!B7</f>
        <v>5</v>
      </c>
      <c r="B7" s="64">
        <f>'Data entry'!A7</f>
        <v>5</v>
      </c>
      <c r="C7" s="33" t="str">
        <f>'Data entry'!C7</f>
        <v>Name removed</v>
      </c>
      <c r="D7" s="157">
        <f>'current bses'!C7</f>
        <v>2.23125</v>
      </c>
      <c r="E7" s="157">
        <f>'current bses'!F7</f>
        <v>1.5375</v>
      </c>
      <c r="F7" s="157">
        <f>'current bses'!I7</f>
        <v>0.6</v>
      </c>
      <c r="G7" s="157"/>
      <c r="H7" s="58" t="str">
        <f>'Data entry'!U7</f>
        <v>Photo</v>
      </c>
      <c r="I7" s="132">
        <f>'Data entry'!W7</f>
        <v>1.25</v>
      </c>
      <c r="J7" s="78">
        <f t="shared" si="0"/>
        <v>5.61875</v>
      </c>
      <c r="K7" s="61">
        <f t="shared" si="1"/>
        <v>0.3745833333333334</v>
      </c>
      <c r="L7" s="46">
        <f t="shared" si="2"/>
        <v>0.44625000000000004</v>
      </c>
      <c r="M7" s="61">
        <f t="shared" si="3"/>
        <v>0.3745833333333334</v>
      </c>
      <c r="N7" s="518"/>
      <c r="O7" s="316" t="s">
        <v>407</v>
      </c>
      <c r="P7" s="316"/>
      <c r="Q7" s="519">
        <v>4.6059448191187656E-11</v>
      </c>
    </row>
    <row r="8" spans="1:17" ht="12.75">
      <c r="A8" s="63">
        <f>'Data entry'!B8</f>
        <v>6</v>
      </c>
      <c r="B8" s="64">
        <f>'Data entry'!A8</f>
        <v>6</v>
      </c>
      <c r="C8" s="33" t="str">
        <f>'Data entry'!C8</f>
        <v>Name removed</v>
      </c>
      <c r="D8" s="157">
        <f>'current bses'!C8</f>
        <v>2.85</v>
      </c>
      <c r="E8" s="157">
        <f>'current bses'!F8</f>
        <v>1.5125</v>
      </c>
      <c r="F8" s="157">
        <f>'current bses'!I8</f>
        <v>0.4</v>
      </c>
      <c r="G8" s="157"/>
      <c r="H8" s="58" t="str">
        <f>'Data entry'!U8</f>
        <v>Photo, invoice</v>
      </c>
      <c r="I8" s="132">
        <f>'Data entry'!W8</f>
        <v>2.5</v>
      </c>
      <c r="J8" s="78">
        <f t="shared" si="0"/>
        <v>7.2625</v>
      </c>
      <c r="K8" s="61">
        <f t="shared" si="1"/>
        <v>0.4841666666666667</v>
      </c>
      <c r="L8" s="46">
        <f t="shared" si="2"/>
        <v>0.5700000000000001</v>
      </c>
      <c r="M8" s="61">
        <f t="shared" si="3"/>
        <v>0.4841666666666667</v>
      </c>
      <c r="N8" s="518"/>
      <c r="O8" s="316" t="s">
        <v>943</v>
      </c>
      <c r="P8" s="316">
        <v>82</v>
      </c>
      <c r="Q8" s="519">
        <v>82</v>
      </c>
    </row>
    <row r="9" spans="1:17" ht="12.75">
      <c r="A9" s="63">
        <f>'Data entry'!B9</f>
        <v>7</v>
      </c>
      <c r="B9" s="64" t="str">
        <f>'Data entry'!A9</f>
        <v>8a</v>
      </c>
      <c r="C9" s="33" t="str">
        <f>'Data entry'!C9</f>
        <v>Name removed</v>
      </c>
      <c r="D9" s="157">
        <f>'current bses'!C9</f>
        <v>3.4</v>
      </c>
      <c r="E9" s="157">
        <f>'current bses'!F9</f>
        <v>1.7375</v>
      </c>
      <c r="F9" s="157">
        <f>'current bses'!I9</f>
        <v>0.6</v>
      </c>
      <c r="G9" s="157"/>
      <c r="H9" s="58" t="str">
        <f>'Data entry'!U9</f>
        <v>photo, diary, farm budget</v>
      </c>
      <c r="I9" s="132">
        <f>'Data entry'!W9</f>
        <v>3.75</v>
      </c>
      <c r="J9" s="78">
        <f t="shared" si="0"/>
        <v>9.4875</v>
      </c>
      <c r="K9" s="61">
        <f t="shared" si="1"/>
        <v>0.6325000000000001</v>
      </c>
      <c r="L9" s="46">
        <f t="shared" si="2"/>
        <v>0.6799999999999999</v>
      </c>
      <c r="M9" s="61">
        <f t="shared" si="3"/>
        <v>0.6325000000000001</v>
      </c>
      <c r="N9" s="518" t="s">
        <v>405</v>
      </c>
      <c r="O9" s="316" t="s">
        <v>406</v>
      </c>
      <c r="P9" s="316">
        <v>0.6481799475493932</v>
      </c>
      <c r="Q9" s="519">
        <v>1</v>
      </c>
    </row>
    <row r="10" spans="1:17" ht="12.75">
      <c r="A10" s="63">
        <f>'Data entry'!B10</f>
        <v>8</v>
      </c>
      <c r="B10" s="64" t="str">
        <f>'Data entry'!A10</f>
        <v>8b</v>
      </c>
      <c r="C10" s="33" t="str">
        <f>'Data entry'!C10</f>
        <v>Name removed</v>
      </c>
      <c r="D10" s="157">
        <f>'current bses'!C10</f>
        <v>3.15</v>
      </c>
      <c r="E10" s="157">
        <f>'current bses'!F10</f>
        <v>2.175</v>
      </c>
      <c r="F10" s="157">
        <f>'current bses'!I10</f>
        <v>0.65</v>
      </c>
      <c r="G10" s="157"/>
      <c r="H10" s="58" t="str">
        <f>'Data entry'!U10</f>
        <v>FLR, photo, Invoice   </v>
      </c>
      <c r="I10" s="132">
        <f>'Data entry'!W10</f>
        <v>3.75</v>
      </c>
      <c r="J10" s="78">
        <f t="shared" si="0"/>
        <v>9.725</v>
      </c>
      <c r="K10" s="61">
        <f t="shared" si="1"/>
        <v>0.6483333333333333</v>
      </c>
      <c r="L10" s="46">
        <f t="shared" si="2"/>
        <v>0.63</v>
      </c>
      <c r="M10" s="61">
        <f t="shared" si="3"/>
        <v>0.6483333333333333</v>
      </c>
      <c r="N10" s="518"/>
      <c r="O10" s="316" t="s">
        <v>407</v>
      </c>
      <c r="P10" s="316">
        <v>4.6059448191187656E-11</v>
      </c>
      <c r="Q10" s="519"/>
    </row>
    <row r="11" spans="1:17" ht="12.75">
      <c r="A11" s="63">
        <f>'Data entry'!B11</f>
        <v>9</v>
      </c>
      <c r="B11" s="64">
        <f>'Data entry'!A11</f>
        <v>12</v>
      </c>
      <c r="C11" s="33" t="str">
        <f>'Data entry'!C11</f>
        <v>Name removed</v>
      </c>
      <c r="D11" s="157">
        <f>'current bses'!C11</f>
        <v>2.65</v>
      </c>
      <c r="E11" s="157">
        <f>'current bses'!F11</f>
        <v>2.175</v>
      </c>
      <c r="F11" s="157">
        <f>'current bses'!I11</f>
        <v>0.65</v>
      </c>
      <c r="G11" s="157"/>
      <c r="H11" s="58" t="str">
        <f>'Data entry'!U11</f>
        <v>Photo, invoice</v>
      </c>
      <c r="I11" s="132">
        <f>'Data entry'!W11</f>
        <v>2.5</v>
      </c>
      <c r="J11" s="78">
        <f t="shared" si="0"/>
        <v>7.975</v>
      </c>
      <c r="K11" s="61">
        <f t="shared" si="1"/>
        <v>0.5316666666666666</v>
      </c>
      <c r="L11" s="46">
        <f t="shared" si="2"/>
        <v>0.53</v>
      </c>
      <c r="M11" s="61">
        <f t="shared" si="3"/>
        <v>0.5316666666666666</v>
      </c>
      <c r="N11" s="518"/>
      <c r="O11" s="316" t="s">
        <v>943</v>
      </c>
      <c r="P11" s="316">
        <v>82</v>
      </c>
      <c r="Q11" s="519">
        <v>82</v>
      </c>
    </row>
    <row r="12" spans="1:17" ht="12.75">
      <c r="A12" s="63">
        <f>'Data entry'!B12</f>
        <v>10</v>
      </c>
      <c r="B12" s="64">
        <f>'Data entry'!A12</f>
        <v>15</v>
      </c>
      <c r="C12" s="33" t="str">
        <f>'Data entry'!C12</f>
        <v>Name removed</v>
      </c>
      <c r="D12" s="157">
        <f>'current bses'!C12</f>
        <v>0.75</v>
      </c>
      <c r="E12" s="157">
        <f>'current bses'!F12</f>
        <v>1.375</v>
      </c>
      <c r="F12" s="157">
        <f>'current bses'!I12</f>
        <v>0.65</v>
      </c>
      <c r="G12" s="157"/>
      <c r="H12" s="58">
        <f>'Data entry'!U12</f>
        <v>0</v>
      </c>
      <c r="I12" s="132">
        <f>'Data entry'!W12</f>
        <v>0</v>
      </c>
      <c r="J12" s="78">
        <f t="shared" si="0"/>
        <v>2.775</v>
      </c>
      <c r="K12" s="61">
        <f t="shared" si="1"/>
        <v>0.185</v>
      </c>
      <c r="L12" s="46">
        <f t="shared" si="2"/>
        <v>0.15</v>
      </c>
      <c r="M12" s="61">
        <f t="shared" si="3"/>
        <v>0.185</v>
      </c>
      <c r="N12" s="520" t="s">
        <v>408</v>
      </c>
      <c r="O12" s="314" t="s">
        <v>409</v>
      </c>
      <c r="P12" s="314"/>
      <c r="Q12" s="521"/>
    </row>
    <row r="13" spans="1:13" ht="12.75">
      <c r="A13" s="63">
        <f>'Data entry'!B13</f>
        <v>11</v>
      </c>
      <c r="B13" s="64">
        <f>'Data entry'!A13</f>
        <v>16</v>
      </c>
      <c r="C13" s="33" t="str">
        <f>'Data entry'!C13</f>
        <v>Name removed</v>
      </c>
      <c r="D13" s="157">
        <f>'current bses'!C13</f>
        <v>2.7</v>
      </c>
      <c r="E13" s="157">
        <f>'current bses'!F13</f>
        <v>1.2375</v>
      </c>
      <c r="F13" s="157">
        <f>'current bses'!I13</f>
        <v>1</v>
      </c>
      <c r="G13" s="157"/>
      <c r="H13" s="58" t="str">
        <f>'Data entry'!U13</f>
        <v>Photo, invoice</v>
      </c>
      <c r="I13" s="132">
        <f>'Data entry'!W13</f>
        <v>2.5</v>
      </c>
      <c r="J13" s="78">
        <f t="shared" si="0"/>
        <v>7.4375</v>
      </c>
      <c r="K13" s="61">
        <f t="shared" si="1"/>
        <v>0.49583333333333335</v>
      </c>
      <c r="L13" s="46">
        <f t="shared" si="2"/>
        <v>0.54</v>
      </c>
      <c r="M13" s="61">
        <f t="shared" si="3"/>
        <v>0.49583333333333335</v>
      </c>
    </row>
    <row r="14" spans="1:13" ht="12.75">
      <c r="A14" s="63">
        <f>'Data entry'!B14</f>
        <v>12</v>
      </c>
      <c r="B14" s="64">
        <f>'Data entry'!A14</f>
        <v>17</v>
      </c>
      <c r="C14" s="33" t="str">
        <f>'Data entry'!C14</f>
        <v>Name removed</v>
      </c>
      <c r="D14" s="157">
        <f>'current bses'!C14</f>
        <v>1.28125</v>
      </c>
      <c r="E14" s="157">
        <f>'current bses'!F14</f>
        <v>1.325</v>
      </c>
      <c r="F14" s="157">
        <f>'current bses'!I14</f>
        <v>0.15</v>
      </c>
      <c r="G14" s="157"/>
      <c r="H14" s="58" t="str">
        <f>'Data entry'!U14</f>
        <v>Photo, invoice</v>
      </c>
      <c r="I14" s="132">
        <f>'Data entry'!W14</f>
        <v>2.5</v>
      </c>
      <c r="J14" s="78">
        <f t="shared" si="0"/>
        <v>5.25625</v>
      </c>
      <c r="K14" s="61">
        <f t="shared" si="1"/>
        <v>0.35041666666666665</v>
      </c>
      <c r="L14" s="46">
        <f t="shared" si="2"/>
        <v>0.25625</v>
      </c>
      <c r="M14" s="61">
        <f t="shared" si="3"/>
        <v>0.35041666666666665</v>
      </c>
    </row>
    <row r="15" spans="1:13" ht="12.75">
      <c r="A15" s="63">
        <f>'Data entry'!B15</f>
        <v>13</v>
      </c>
      <c r="B15" s="64">
        <f>'Data entry'!A15</f>
        <v>21</v>
      </c>
      <c r="C15" s="33" t="str">
        <f>'Data entry'!C15</f>
        <v>Name removed</v>
      </c>
      <c r="D15" s="157">
        <f>'current bses'!C15</f>
        <v>2.45625</v>
      </c>
      <c r="E15" s="157">
        <f>'current bses'!F15</f>
        <v>1.3875</v>
      </c>
      <c r="F15" s="157">
        <f>'current bses'!I15</f>
        <v>0.15</v>
      </c>
      <c r="G15" s="157"/>
      <c r="H15" s="58" t="str">
        <f>'Data entry'!U15</f>
        <v>Photo, invoice</v>
      </c>
      <c r="I15" s="132">
        <f>'Data entry'!W15</f>
        <v>2.5</v>
      </c>
      <c r="J15" s="78">
        <f t="shared" si="0"/>
        <v>6.49375</v>
      </c>
      <c r="K15" s="61">
        <f t="shared" si="1"/>
        <v>0.43291666666666667</v>
      </c>
      <c r="L15" s="46">
        <f t="shared" si="2"/>
        <v>0.49124999999999996</v>
      </c>
      <c r="M15" s="61">
        <f t="shared" si="3"/>
        <v>0.43291666666666667</v>
      </c>
    </row>
    <row r="16" spans="1:13" ht="12.75">
      <c r="A16" s="63">
        <f>'Data entry'!B16</f>
        <v>14</v>
      </c>
      <c r="B16" s="64">
        <f>'Data entry'!A16</f>
        <v>22</v>
      </c>
      <c r="C16" s="33" t="str">
        <f>'Data entry'!C16</f>
        <v>Name removed</v>
      </c>
      <c r="D16" s="157">
        <f>'current bses'!C16</f>
        <v>2.38125</v>
      </c>
      <c r="E16" s="157">
        <f>'current bses'!F16</f>
        <v>1.0625</v>
      </c>
      <c r="F16" s="157">
        <f>'current bses'!I16</f>
        <v>0.25</v>
      </c>
      <c r="G16" s="157"/>
      <c r="H16" s="58">
        <f>'Data entry'!U16</f>
        <v>0</v>
      </c>
      <c r="I16" s="132">
        <f>'Data entry'!W16</f>
        <v>0</v>
      </c>
      <c r="J16" s="78">
        <f t="shared" si="0"/>
        <v>3.69375</v>
      </c>
      <c r="K16" s="61">
        <f t="shared" si="1"/>
        <v>0.24625</v>
      </c>
      <c r="L16" s="46">
        <f t="shared" si="2"/>
        <v>0.47625</v>
      </c>
      <c r="M16" s="61">
        <f t="shared" si="3"/>
        <v>0.24625</v>
      </c>
    </row>
    <row r="17" spans="1:13" ht="12.75">
      <c r="A17" s="63">
        <f>'Data entry'!B17</f>
        <v>15</v>
      </c>
      <c r="B17" s="64" t="str">
        <f>'Data entry'!A17</f>
        <v>27a</v>
      </c>
      <c r="C17" s="33" t="str">
        <f>'Data entry'!C17</f>
        <v>Name removed</v>
      </c>
      <c r="D17" s="157">
        <f>'current bses'!C17</f>
        <v>2.775</v>
      </c>
      <c r="E17" s="157">
        <f>'current bses'!F17</f>
        <v>1.5625</v>
      </c>
      <c r="F17" s="157">
        <f>'current bses'!I17</f>
        <v>0.15</v>
      </c>
      <c r="G17" s="157"/>
      <c r="H17" s="58" t="str">
        <f>'Data entry'!U17</f>
        <v>Photo, invoice</v>
      </c>
      <c r="I17" s="132">
        <f>'Data entry'!W17</f>
        <v>2.5</v>
      </c>
      <c r="J17" s="78">
        <f t="shared" si="0"/>
        <v>6.987500000000001</v>
      </c>
      <c r="K17" s="61">
        <f t="shared" si="1"/>
        <v>0.4658333333333334</v>
      </c>
      <c r="L17" s="46">
        <f t="shared" si="2"/>
        <v>0.5549999999999999</v>
      </c>
      <c r="M17" s="61">
        <f t="shared" si="3"/>
        <v>0.4658333333333334</v>
      </c>
    </row>
    <row r="18" spans="1:13" ht="12.75">
      <c r="A18" s="63">
        <f>'Data entry'!B18</f>
        <v>16</v>
      </c>
      <c r="B18" s="64" t="str">
        <f>'Data entry'!A18</f>
        <v>27b</v>
      </c>
      <c r="C18" s="33" t="str">
        <f>'Data entry'!C18</f>
        <v>Name removed</v>
      </c>
      <c r="D18" s="157">
        <f>'current bses'!C18</f>
        <v>2.475</v>
      </c>
      <c r="E18" s="157">
        <f>'current bses'!F18</f>
        <v>1.5625</v>
      </c>
      <c r="F18" s="157">
        <f>'current bses'!I18</f>
        <v>0.15</v>
      </c>
      <c r="G18" s="157"/>
      <c r="H18" s="58">
        <f>'Data entry'!U18</f>
        <v>0</v>
      </c>
      <c r="I18" s="132">
        <f>'Data entry'!W18</f>
        <v>0</v>
      </c>
      <c r="J18" s="78">
        <f t="shared" si="0"/>
        <v>4.1875</v>
      </c>
      <c r="K18" s="61">
        <f t="shared" si="1"/>
        <v>0.2791666666666667</v>
      </c>
      <c r="L18" s="46">
        <f t="shared" si="2"/>
        <v>0.495</v>
      </c>
      <c r="M18" s="61">
        <f t="shared" si="3"/>
        <v>0.2791666666666667</v>
      </c>
    </row>
    <row r="19" spans="1:13" ht="12.75">
      <c r="A19" s="63">
        <f>'Data entry'!B19</f>
        <v>17</v>
      </c>
      <c r="B19" s="64">
        <f>'Data entry'!A19</f>
        <v>28</v>
      </c>
      <c r="C19" s="33" t="str">
        <f>'Data entry'!C19</f>
        <v>Name removed</v>
      </c>
      <c r="D19" s="157">
        <f>'current bses'!C19</f>
        <v>1.2</v>
      </c>
      <c r="E19" s="157">
        <f>'current bses'!F19</f>
        <v>1.5</v>
      </c>
      <c r="F19" s="157">
        <f>'current bses'!I19</f>
        <v>0.15</v>
      </c>
      <c r="G19" s="157"/>
      <c r="H19" s="58" t="str">
        <f>'Data entry'!U19</f>
        <v>Diary, Farm Budget</v>
      </c>
      <c r="I19" s="132">
        <f>'Data entry'!W19</f>
        <v>2.5</v>
      </c>
      <c r="J19" s="78">
        <f t="shared" si="0"/>
        <v>5.35</v>
      </c>
      <c r="K19" s="61">
        <f t="shared" si="1"/>
        <v>0.35666666666666663</v>
      </c>
      <c r="L19" s="46">
        <f t="shared" si="2"/>
        <v>0.24</v>
      </c>
      <c r="M19" s="61">
        <f t="shared" si="3"/>
        <v>0.35666666666666663</v>
      </c>
    </row>
    <row r="20" spans="1:13" ht="12.75">
      <c r="A20" s="63">
        <f>'Data entry'!B20</f>
        <v>18</v>
      </c>
      <c r="B20" s="64">
        <f>'Data entry'!A20</f>
        <v>29</v>
      </c>
      <c r="C20" s="33" t="str">
        <f>'Data entry'!C20</f>
        <v>Name removed</v>
      </c>
      <c r="D20" s="157">
        <f>'current bses'!C20</f>
        <v>3.29</v>
      </c>
      <c r="E20" s="157">
        <f>'current bses'!F20</f>
        <v>1.75</v>
      </c>
      <c r="F20" s="157">
        <f>'current bses'!I20</f>
        <v>1.05</v>
      </c>
      <c r="G20" s="157"/>
      <c r="H20" s="58" t="str">
        <f>'Data entry'!U20</f>
        <v>FLR, Photo, Invoice, Monitoring sites</v>
      </c>
      <c r="I20" s="132">
        <f>'Data entry'!W20</f>
        <v>5</v>
      </c>
      <c r="J20" s="78">
        <f t="shared" si="0"/>
        <v>11.09</v>
      </c>
      <c r="K20" s="61">
        <f t="shared" si="1"/>
        <v>0.7393333333333333</v>
      </c>
      <c r="L20" s="46">
        <f t="shared" si="2"/>
        <v>0.658</v>
      </c>
      <c r="M20" s="61">
        <f t="shared" si="3"/>
        <v>0.7393333333333333</v>
      </c>
    </row>
    <row r="21" spans="1:13" ht="12.75">
      <c r="A21" s="63">
        <f>'Data entry'!B21</f>
        <v>19</v>
      </c>
      <c r="B21" s="64">
        <f>'Data entry'!A21</f>
        <v>31</v>
      </c>
      <c r="C21" s="33" t="str">
        <f>'Data entry'!C21</f>
        <v>Name removed</v>
      </c>
      <c r="D21" s="157">
        <f>'current bses'!C21</f>
        <v>2.75</v>
      </c>
      <c r="E21" s="157">
        <f>'current bses'!F21</f>
        <v>1.5</v>
      </c>
      <c r="F21" s="157">
        <f>'current bses'!I21</f>
        <v>0.4</v>
      </c>
      <c r="G21" s="157"/>
      <c r="H21" s="58">
        <f>'Data entry'!U21</f>
        <v>0</v>
      </c>
      <c r="I21" s="132">
        <f>'Data entry'!W21</f>
        <v>0</v>
      </c>
      <c r="J21" s="78">
        <f t="shared" si="0"/>
        <v>4.65</v>
      </c>
      <c r="K21" s="61">
        <f t="shared" si="1"/>
        <v>0.31</v>
      </c>
      <c r="L21" s="46">
        <f t="shared" si="2"/>
        <v>0.55</v>
      </c>
      <c r="M21" s="61">
        <f t="shared" si="3"/>
        <v>0.31</v>
      </c>
    </row>
    <row r="22" spans="1:13" ht="12.75">
      <c r="A22" s="63">
        <f>'Data entry'!B22</f>
        <v>20</v>
      </c>
      <c r="B22" s="64" t="str">
        <f>'Data entry'!A22</f>
        <v>33a</v>
      </c>
      <c r="C22" s="33" t="str">
        <f>'Data entry'!C22</f>
        <v>Name removed</v>
      </c>
      <c r="D22" s="157">
        <f>'current bses'!C22</f>
        <v>2.25</v>
      </c>
      <c r="E22" s="157">
        <f>'current bses'!F22</f>
        <v>2.225</v>
      </c>
      <c r="F22" s="157">
        <f>'current bses'!I22</f>
        <v>0.5</v>
      </c>
      <c r="G22" s="157"/>
      <c r="H22" s="58" t="str">
        <f>'Data entry'!U22</f>
        <v>FLR, Invoice, Monitoring, Diary, spray logs, Elec. Recording</v>
      </c>
      <c r="I22" s="132">
        <f>'Data entry'!W22</f>
        <v>3.75</v>
      </c>
      <c r="J22" s="78">
        <f t="shared" si="0"/>
        <v>8.725</v>
      </c>
      <c r="K22" s="61">
        <f t="shared" si="1"/>
        <v>0.5816666666666667</v>
      </c>
      <c r="L22" s="46">
        <f t="shared" si="2"/>
        <v>0.45</v>
      </c>
      <c r="M22" s="61">
        <f t="shared" si="3"/>
        <v>0.5816666666666667</v>
      </c>
    </row>
    <row r="23" spans="1:13" ht="12.75">
      <c r="A23" s="63">
        <f>'Data entry'!B23</f>
        <v>21</v>
      </c>
      <c r="B23" s="64" t="str">
        <f>'Data entry'!A23</f>
        <v>33b</v>
      </c>
      <c r="C23" s="33" t="str">
        <f>'Data entry'!C23</f>
        <v>Name removed</v>
      </c>
      <c r="D23" s="157">
        <f>'current bses'!C23</f>
        <v>2.7</v>
      </c>
      <c r="E23" s="157">
        <f>'current bses'!F23</f>
        <v>1.9875</v>
      </c>
      <c r="F23" s="157">
        <f>'current bses'!I23</f>
        <v>1.625</v>
      </c>
      <c r="G23" s="157"/>
      <c r="H23" s="58" t="str">
        <f>'Data entry'!U23</f>
        <v>FLR, Invoice, Monitoring, Diary, spray logs, Elec. Recording</v>
      </c>
      <c r="I23" s="132">
        <f>'Data entry'!W23</f>
        <v>3.75</v>
      </c>
      <c r="J23" s="78">
        <f t="shared" si="0"/>
        <v>10.0625</v>
      </c>
      <c r="K23" s="61">
        <f t="shared" si="1"/>
        <v>0.6708333333333333</v>
      </c>
      <c r="L23" s="46">
        <f t="shared" si="2"/>
        <v>0.54</v>
      </c>
      <c r="M23" s="61">
        <f t="shared" si="3"/>
        <v>0.6708333333333333</v>
      </c>
    </row>
    <row r="24" spans="1:13" ht="12.75">
      <c r="A24" s="63">
        <f>'Data entry'!B24</f>
        <v>22</v>
      </c>
      <c r="B24" s="64" t="str">
        <f>'Data entry'!A24</f>
        <v>33c</v>
      </c>
      <c r="C24" s="33" t="str">
        <f>'Data entry'!C24</f>
        <v>Name removed</v>
      </c>
      <c r="D24" s="157">
        <f>'current bses'!C24</f>
        <v>2.7</v>
      </c>
      <c r="E24" s="157">
        <f>'current bses'!F24</f>
        <v>1.9875</v>
      </c>
      <c r="F24" s="157">
        <f>'current bses'!I24</f>
        <v>0.625</v>
      </c>
      <c r="G24" s="157"/>
      <c r="H24" s="58" t="str">
        <f>'Data entry'!U24</f>
        <v>FLR, Invoice, Monitoring, Diary, spray logs, Elec. Recording</v>
      </c>
      <c r="I24" s="132">
        <f>'Data entry'!W24</f>
        <v>3.75</v>
      </c>
      <c r="J24" s="78">
        <f t="shared" si="0"/>
        <v>9.0625</v>
      </c>
      <c r="K24" s="61">
        <f t="shared" si="1"/>
        <v>0.6041666666666666</v>
      </c>
      <c r="L24" s="46">
        <f t="shared" si="2"/>
        <v>0.54</v>
      </c>
      <c r="M24" s="61">
        <f t="shared" si="3"/>
        <v>0.6041666666666666</v>
      </c>
    </row>
    <row r="25" spans="1:13" ht="12.75">
      <c r="A25" s="63">
        <f>'Data entry'!B25</f>
        <v>23</v>
      </c>
      <c r="B25" s="64" t="str">
        <f>'Data entry'!A25</f>
        <v>33d</v>
      </c>
      <c r="C25" s="33" t="str">
        <f>'Data entry'!C25</f>
        <v>Name removed</v>
      </c>
      <c r="D25" s="157">
        <v>2.7</v>
      </c>
      <c r="E25" s="157">
        <v>1.9875</v>
      </c>
      <c r="F25" s="157">
        <v>0.625</v>
      </c>
      <c r="G25" s="157"/>
      <c r="H25" s="58" t="str">
        <f>'Data entry'!U25</f>
        <v>FLR, Invoice, Monitoring, Diary, spray logs, Elec. Recording</v>
      </c>
      <c r="I25" s="132">
        <f>'Data entry'!W25</f>
        <v>3.75</v>
      </c>
      <c r="J25" s="78">
        <f t="shared" si="0"/>
        <v>9.0625</v>
      </c>
      <c r="K25" s="61">
        <f t="shared" si="1"/>
        <v>0.6041666666666666</v>
      </c>
      <c r="L25" s="46">
        <f t="shared" si="2"/>
        <v>0.54</v>
      </c>
      <c r="M25" s="61">
        <f t="shared" si="3"/>
        <v>0.6041666666666666</v>
      </c>
    </row>
    <row r="26" spans="1:13" ht="12.75">
      <c r="A26" s="63">
        <f>'Data entry'!B26</f>
        <v>24</v>
      </c>
      <c r="B26" s="64">
        <f>'Data entry'!A26</f>
        <v>36</v>
      </c>
      <c r="C26" s="33" t="str">
        <f>'Data entry'!C26</f>
        <v>Name removed</v>
      </c>
      <c r="D26" s="157">
        <f>'current bses'!C26</f>
        <v>0.88125</v>
      </c>
      <c r="E26" s="157">
        <f>'current bses'!F26</f>
        <v>0.9125</v>
      </c>
      <c r="F26" s="157">
        <f>'current bses'!I26</f>
        <v>0.9</v>
      </c>
      <c r="G26" s="157"/>
      <c r="H26" s="58" t="str">
        <f>'Data entry'!U26</f>
        <v>Photo, invoice</v>
      </c>
      <c r="I26" s="132">
        <f>'Data entry'!W26</f>
        <v>0</v>
      </c>
      <c r="J26" s="78">
        <f t="shared" si="0"/>
        <v>2.69375</v>
      </c>
      <c r="K26" s="61">
        <f t="shared" si="1"/>
        <v>0.17958333333333334</v>
      </c>
      <c r="L26" s="46">
        <f t="shared" si="2"/>
        <v>0.17625</v>
      </c>
      <c r="M26" s="61">
        <f t="shared" si="3"/>
        <v>0.17958333333333334</v>
      </c>
    </row>
    <row r="27" spans="1:13" ht="12.75">
      <c r="A27" s="63">
        <f>'Data entry'!B27</f>
        <v>25</v>
      </c>
      <c r="B27" s="64">
        <f>'Data entry'!A27</f>
        <v>37</v>
      </c>
      <c r="C27" s="33" t="str">
        <f>'Data entry'!C27</f>
        <v>Name removed</v>
      </c>
      <c r="D27" s="157">
        <f>'current bses'!C27</f>
        <v>1.575</v>
      </c>
      <c r="E27" s="157">
        <f>'current bses'!F27</f>
        <v>1.8375</v>
      </c>
      <c r="F27" s="157">
        <f>'current bses'!I27</f>
        <v>0.15</v>
      </c>
      <c r="G27" s="157"/>
      <c r="H27" s="58" t="str">
        <f>'Data entry'!U27</f>
        <v>FLR, Diary, Endevour program, spray log, farm budget</v>
      </c>
      <c r="I27" s="132">
        <f>'Data entry'!W27</f>
        <v>2.5</v>
      </c>
      <c r="J27" s="78">
        <f t="shared" si="0"/>
        <v>6.0625</v>
      </c>
      <c r="K27" s="61">
        <f t="shared" si="1"/>
        <v>0.4041666666666667</v>
      </c>
      <c r="L27" s="46">
        <f t="shared" si="2"/>
        <v>0.315</v>
      </c>
      <c r="M27" s="61">
        <f t="shared" si="3"/>
        <v>0.4041666666666667</v>
      </c>
    </row>
    <row r="28" spans="1:13" ht="12.75">
      <c r="A28" s="63">
        <f>'Data entry'!B28</f>
        <v>26</v>
      </c>
      <c r="B28" s="64">
        <f>'Data entry'!A28</f>
        <v>38</v>
      </c>
      <c r="C28" s="33" t="str">
        <f>'Data entry'!C28</f>
        <v>Name removed</v>
      </c>
      <c r="D28" s="157">
        <f>'current bses'!C28</f>
        <v>2.74625</v>
      </c>
      <c r="E28" s="157">
        <f>'current bses'!F28</f>
        <v>1.6</v>
      </c>
      <c r="F28" s="157">
        <f>'current bses'!I28</f>
        <v>0.15</v>
      </c>
      <c r="G28" s="157"/>
      <c r="H28" s="58" t="str">
        <f>'Data entry'!U28</f>
        <v>FLR, Diary</v>
      </c>
      <c r="I28" s="132">
        <f>'Data entry'!W28</f>
        <v>1.25</v>
      </c>
      <c r="J28" s="78">
        <f t="shared" si="0"/>
        <v>5.74625</v>
      </c>
      <c r="K28" s="61">
        <f t="shared" si="1"/>
        <v>0.38308333333333333</v>
      </c>
      <c r="L28" s="46">
        <f t="shared" si="2"/>
        <v>0.54925</v>
      </c>
      <c r="M28" s="61">
        <f t="shared" si="3"/>
        <v>0.38308333333333333</v>
      </c>
    </row>
    <row r="29" spans="1:13" ht="12.75">
      <c r="A29" s="63">
        <f>'Data entry'!B29</f>
        <v>27</v>
      </c>
      <c r="B29" s="64" t="str">
        <f>'Data entry'!A29</f>
        <v>39a</v>
      </c>
      <c r="C29" s="33" t="str">
        <f>'Data entry'!C29</f>
        <v>Name removed</v>
      </c>
      <c r="D29" s="157">
        <f>'current bses'!C29</f>
        <v>2.78125</v>
      </c>
      <c r="E29" s="157">
        <f>'current bses'!F29</f>
        <v>2.3625</v>
      </c>
      <c r="F29" s="157">
        <f>'current bses'!I29</f>
        <v>1.625</v>
      </c>
      <c r="G29" s="157"/>
      <c r="H29" s="58" t="str">
        <f>'Data entry'!U29</f>
        <v>FLR, Photo, Invoice, Monitoring sites, GIS Data</v>
      </c>
      <c r="I29" s="132">
        <f>'Data entry'!W29</f>
        <v>5</v>
      </c>
      <c r="J29" s="78">
        <f t="shared" si="0"/>
        <v>11.76875</v>
      </c>
      <c r="K29" s="61">
        <f t="shared" si="1"/>
        <v>0.7845833333333334</v>
      </c>
      <c r="L29" s="46">
        <f t="shared" si="2"/>
        <v>0.55625</v>
      </c>
      <c r="M29" s="61">
        <f t="shared" si="3"/>
        <v>0.7845833333333334</v>
      </c>
    </row>
    <row r="30" spans="1:13" ht="12.75">
      <c r="A30" s="63">
        <f>'Data entry'!B30</f>
        <v>28</v>
      </c>
      <c r="B30" s="64" t="str">
        <f>'Data entry'!A30</f>
        <v>39c</v>
      </c>
      <c r="C30" s="33" t="str">
        <f>'Data entry'!C30</f>
        <v>Name removed</v>
      </c>
      <c r="D30" s="157">
        <f>'current bses'!C30</f>
        <v>2.78125</v>
      </c>
      <c r="E30" s="157">
        <f>'current bses'!F30</f>
        <v>2.3625</v>
      </c>
      <c r="F30" s="157">
        <f>'current bses'!I30</f>
        <v>0.625</v>
      </c>
      <c r="G30" s="157"/>
      <c r="H30" s="58" t="str">
        <f>'Data entry'!U30</f>
        <v>FLR, Photo, Invoice, Monitoring sites, GIS Data</v>
      </c>
      <c r="I30" s="132">
        <f>'Data entry'!W30</f>
        <v>5</v>
      </c>
      <c r="J30" s="78">
        <f t="shared" si="0"/>
        <v>10.76875</v>
      </c>
      <c r="K30" s="61">
        <f t="shared" si="1"/>
        <v>0.7179166666666668</v>
      </c>
      <c r="L30" s="46">
        <f t="shared" si="2"/>
        <v>0.55625</v>
      </c>
      <c r="M30" s="61">
        <f t="shared" si="3"/>
        <v>0.7179166666666668</v>
      </c>
    </row>
    <row r="31" spans="1:13" ht="12.75">
      <c r="A31" s="63">
        <f>'Data entry'!B31</f>
        <v>29</v>
      </c>
      <c r="B31" s="64" t="str">
        <f>'Data entry'!A31</f>
        <v>39d</v>
      </c>
      <c r="C31" s="33" t="str">
        <f>'Data entry'!C31</f>
        <v>Name removed</v>
      </c>
      <c r="D31" s="157">
        <f>'current bses'!C31</f>
        <v>2.63125</v>
      </c>
      <c r="E31" s="157">
        <f>'current bses'!F31</f>
        <v>2.3625</v>
      </c>
      <c r="F31" s="157">
        <f>'current bses'!I31</f>
        <v>1.625</v>
      </c>
      <c r="G31" s="157"/>
      <c r="H31" s="58">
        <f>'Data entry'!U31</f>
        <v>0</v>
      </c>
      <c r="I31" s="132">
        <f>'Data entry'!W31</f>
        <v>0</v>
      </c>
      <c r="J31" s="78">
        <f t="shared" si="0"/>
        <v>6.61875</v>
      </c>
      <c r="K31" s="61">
        <f t="shared" si="1"/>
        <v>0.44125000000000003</v>
      </c>
      <c r="L31" s="46">
        <f t="shared" si="2"/>
        <v>0.52625</v>
      </c>
      <c r="M31" s="61">
        <f t="shared" si="3"/>
        <v>0.44125000000000003</v>
      </c>
    </row>
    <row r="32" spans="1:13" ht="12.75">
      <c r="A32" s="63">
        <f>'Data entry'!B32</f>
        <v>30</v>
      </c>
      <c r="B32" s="64" t="str">
        <f>'Data entry'!A32</f>
        <v>39e</v>
      </c>
      <c r="C32" s="33" t="str">
        <f>'Data entry'!C32</f>
        <v>Name removed</v>
      </c>
      <c r="D32" s="157">
        <f>'current bses'!C32</f>
        <v>2.78125</v>
      </c>
      <c r="E32" s="157">
        <f>'current bses'!F32</f>
        <v>2.3625</v>
      </c>
      <c r="F32" s="157">
        <f>'current bses'!I32</f>
        <v>1.125</v>
      </c>
      <c r="G32" s="157"/>
      <c r="H32" s="58">
        <f>'Data entry'!U32</f>
        <v>0</v>
      </c>
      <c r="I32" s="132">
        <f>'Data entry'!W32</f>
        <v>0</v>
      </c>
      <c r="J32" s="78">
        <f t="shared" si="0"/>
        <v>6.26875</v>
      </c>
      <c r="K32" s="61">
        <f t="shared" si="1"/>
        <v>0.41791666666666666</v>
      </c>
      <c r="L32" s="46">
        <f t="shared" si="2"/>
        <v>0.55625</v>
      </c>
      <c r="M32" s="61">
        <f t="shared" si="3"/>
        <v>0.41791666666666666</v>
      </c>
    </row>
    <row r="33" spans="1:13" ht="12.75">
      <c r="A33" s="63">
        <f>'Data entry'!B33</f>
        <v>31</v>
      </c>
      <c r="B33" s="64" t="str">
        <f>'Data entry'!A33</f>
        <v>39f</v>
      </c>
      <c r="C33" s="33" t="str">
        <f>'Data entry'!C33</f>
        <v>Name removed</v>
      </c>
      <c r="D33" s="157">
        <f>'current bses'!C33</f>
        <v>2.78125</v>
      </c>
      <c r="E33" s="157">
        <f>'current bses'!F33</f>
        <v>2.175</v>
      </c>
      <c r="F33" s="157">
        <f>'current bses'!I33</f>
        <v>1.125</v>
      </c>
      <c r="G33" s="157"/>
      <c r="H33" s="58" t="str">
        <f>'Data entry'!U33</f>
        <v>FLR, Invoice, The sat images will verify the befor and after scenarios in terms of land use area</v>
      </c>
      <c r="I33" s="132">
        <f>'Data entry'!W33</f>
        <v>3.75</v>
      </c>
      <c r="J33" s="78">
        <f t="shared" si="0"/>
        <v>9.83125</v>
      </c>
      <c r="K33" s="61">
        <f t="shared" si="1"/>
        <v>0.6554166666666668</v>
      </c>
      <c r="L33" s="46">
        <f t="shared" si="2"/>
        <v>0.55625</v>
      </c>
      <c r="M33" s="61">
        <f t="shared" si="3"/>
        <v>0.6554166666666668</v>
      </c>
    </row>
    <row r="34" spans="1:13" ht="12.75">
      <c r="A34" s="63">
        <f>'Data entry'!B34</f>
        <v>32</v>
      </c>
      <c r="B34" s="64">
        <f>'Data entry'!A34</f>
        <v>40</v>
      </c>
      <c r="C34" s="33" t="str">
        <f>'Data entry'!C34</f>
        <v>Name removed</v>
      </c>
      <c r="D34" s="157">
        <f>'current bses'!C34</f>
        <v>0.95</v>
      </c>
      <c r="E34" s="157">
        <f>'current bses'!F34</f>
        <v>1.675</v>
      </c>
      <c r="F34" s="157">
        <f>'current bses'!I34</f>
        <v>0.4</v>
      </c>
      <c r="G34" s="157"/>
      <c r="H34" s="58" t="str">
        <f>'Data entry'!U34</f>
        <v>Photo, Invoice</v>
      </c>
      <c r="I34" s="132">
        <f>'Data entry'!W34</f>
        <v>2.5</v>
      </c>
      <c r="J34" s="78">
        <f t="shared" si="0"/>
        <v>5.525</v>
      </c>
      <c r="K34" s="61">
        <f t="shared" si="1"/>
        <v>0.36833333333333335</v>
      </c>
      <c r="L34" s="46">
        <f t="shared" si="2"/>
        <v>0.19</v>
      </c>
      <c r="M34" s="61">
        <f t="shared" si="3"/>
        <v>0.36833333333333335</v>
      </c>
    </row>
    <row r="35" spans="1:13" ht="12.75">
      <c r="A35" s="63">
        <f>'Data entry'!B35</f>
        <v>33</v>
      </c>
      <c r="B35" s="64">
        <f>'Data entry'!A35</f>
        <v>41</v>
      </c>
      <c r="C35" s="33" t="str">
        <f>'Data entry'!C35</f>
        <v>Name removed</v>
      </c>
      <c r="D35" s="157">
        <f>'current bses'!C35</f>
        <v>3.1</v>
      </c>
      <c r="E35" s="157">
        <f>'current bses'!F35</f>
        <v>0.95</v>
      </c>
      <c r="F35" s="157">
        <f>'current bses'!I35</f>
        <v>1.5</v>
      </c>
      <c r="G35" s="157"/>
      <c r="H35" s="58">
        <f>'Data entry'!U35</f>
        <v>0</v>
      </c>
      <c r="I35" s="132">
        <f>'Data entry'!W35</f>
        <v>0</v>
      </c>
      <c r="J35" s="78">
        <f t="shared" si="0"/>
        <v>5.55</v>
      </c>
      <c r="K35" s="61">
        <f t="shared" si="1"/>
        <v>0.37</v>
      </c>
      <c r="L35" s="46">
        <f t="shared" si="2"/>
        <v>0.62</v>
      </c>
      <c r="M35" s="61">
        <f t="shared" si="3"/>
        <v>0.37</v>
      </c>
    </row>
    <row r="36" spans="1:13" ht="12.75">
      <c r="A36" s="63">
        <f>'Data entry'!B36</f>
        <v>34</v>
      </c>
      <c r="B36" s="64" t="str">
        <f>'Data entry'!A36</f>
        <v>42a</v>
      </c>
      <c r="C36" s="33" t="str">
        <f>'Data entry'!C36</f>
        <v>Name removed</v>
      </c>
      <c r="D36" s="157">
        <f>'current bses'!C36</f>
        <v>2.15</v>
      </c>
      <c r="E36" s="157">
        <f>'current bses'!F36</f>
        <v>1.6125</v>
      </c>
      <c r="F36" s="157">
        <f>'current bses'!I36</f>
        <v>1</v>
      </c>
      <c r="G36" s="157"/>
      <c r="H36" s="58" t="str">
        <f>'Data entry'!U36</f>
        <v>FLR, Diary, BSES paddock journal, private consultant</v>
      </c>
      <c r="I36" s="132">
        <f>'Data entry'!W36</f>
        <v>2.5</v>
      </c>
      <c r="J36" s="78">
        <f t="shared" si="0"/>
        <v>7.2625</v>
      </c>
      <c r="K36" s="61">
        <f t="shared" si="1"/>
        <v>0.4841666666666667</v>
      </c>
      <c r="L36" s="46">
        <f t="shared" si="2"/>
        <v>0.43</v>
      </c>
      <c r="M36" s="61">
        <f t="shared" si="3"/>
        <v>0.4841666666666667</v>
      </c>
    </row>
    <row r="37" spans="1:13" ht="51">
      <c r="A37" s="63" t="str">
        <f>'Data entry'!B37</f>
        <v>Withdrawn  do not delete row</v>
      </c>
      <c r="B37" s="64" t="str">
        <f>'Data entry'!A37</f>
        <v>42b</v>
      </c>
      <c r="C37" s="33" t="s">
        <v>1118</v>
      </c>
      <c r="D37" s="157">
        <f>'current bses'!C37</f>
        <v>0</v>
      </c>
      <c r="E37" s="157">
        <f>'current bses'!F37</f>
        <v>0</v>
      </c>
      <c r="F37" s="157">
        <f>'current bses'!I37</f>
        <v>0</v>
      </c>
      <c r="G37" s="157"/>
      <c r="H37" s="58">
        <f>'Data entry'!U37</f>
        <v>0</v>
      </c>
      <c r="I37" s="132">
        <f>'Data entry'!W37</f>
        <v>0</v>
      </c>
      <c r="J37" s="78">
        <f>D37+E37+F37+I37</f>
        <v>0</v>
      </c>
      <c r="K37" s="61">
        <f>J37/15</f>
        <v>0</v>
      </c>
      <c r="L37" s="46">
        <f>D37/5</f>
        <v>0</v>
      </c>
      <c r="M37" s="61">
        <f>K37</f>
        <v>0</v>
      </c>
    </row>
    <row r="38" spans="1:13" ht="12.75">
      <c r="A38" s="63">
        <f>'Data entry'!B38</f>
        <v>36</v>
      </c>
      <c r="B38" s="64">
        <f>'Data entry'!A38</f>
        <v>44</v>
      </c>
      <c r="C38" s="33" t="str">
        <f>'Data entry'!C38</f>
        <v>Name removed</v>
      </c>
      <c r="D38" s="157">
        <f>'current bses'!C38</f>
        <v>2.95</v>
      </c>
      <c r="E38" s="157">
        <f>'current bses'!F38</f>
        <v>1.8625</v>
      </c>
      <c r="F38" s="157">
        <f>'current bses'!I38</f>
        <v>0.25</v>
      </c>
      <c r="G38" s="157"/>
      <c r="H38" s="58" t="str">
        <f>'Data entry'!U38</f>
        <v>FLR, Diary, Electronic (MS word), spray sheets, GPSdata</v>
      </c>
      <c r="I38" s="132">
        <f>'Data entry'!W38</f>
        <v>1.25</v>
      </c>
      <c r="J38" s="78">
        <f t="shared" si="0"/>
        <v>6.3125</v>
      </c>
      <c r="K38" s="61">
        <f t="shared" si="1"/>
        <v>0.42083333333333334</v>
      </c>
      <c r="L38" s="46">
        <f t="shared" si="2"/>
        <v>0.5900000000000001</v>
      </c>
      <c r="M38" s="61">
        <f t="shared" si="3"/>
        <v>0.42083333333333334</v>
      </c>
    </row>
    <row r="39" spans="1:13" ht="12.75">
      <c r="A39" s="63">
        <f>'Data entry'!B39</f>
        <v>37</v>
      </c>
      <c r="B39" s="64">
        <f>'Data entry'!A39</f>
        <v>45</v>
      </c>
      <c r="C39" s="33" t="str">
        <f>'Data entry'!C39</f>
        <v>Name removed</v>
      </c>
      <c r="D39" s="157">
        <f>'current bses'!C39</f>
        <v>0.55</v>
      </c>
      <c r="E39" s="157">
        <f>'current bses'!F39</f>
        <v>1.8625</v>
      </c>
      <c r="F39" s="157">
        <f>'current bses'!I39</f>
        <v>0.25</v>
      </c>
      <c r="G39" s="157"/>
      <c r="H39" s="58" t="str">
        <f>'Data entry'!U39</f>
        <v>FLR, Diary, Electronic (MS word), spray sheets, GPSdata</v>
      </c>
      <c r="I39" s="132">
        <f>'Data entry'!W39</f>
        <v>1.25</v>
      </c>
      <c r="J39" s="78">
        <f t="shared" si="0"/>
        <v>3.9125</v>
      </c>
      <c r="K39" s="61">
        <f t="shared" si="1"/>
        <v>0.26083333333333336</v>
      </c>
      <c r="L39" s="46">
        <f t="shared" si="2"/>
        <v>0.11000000000000001</v>
      </c>
      <c r="M39" s="61">
        <f t="shared" si="3"/>
        <v>0.26083333333333336</v>
      </c>
    </row>
    <row r="40" spans="1:13" ht="12.75">
      <c r="A40" s="63">
        <f>'Data entry'!B40</f>
        <v>38</v>
      </c>
      <c r="B40" s="64">
        <f>'Data entry'!A40</f>
        <v>46</v>
      </c>
      <c r="C40" s="33" t="str">
        <f>'Data entry'!C40</f>
        <v>Name removed</v>
      </c>
      <c r="D40" s="157">
        <f>'current bses'!C40</f>
        <v>0</v>
      </c>
      <c r="E40" s="157">
        <f>'current bses'!F40</f>
        <v>0</v>
      </c>
      <c r="F40" s="157">
        <f>'current bses'!I40</f>
        <v>0</v>
      </c>
      <c r="G40" s="157">
        <f>'grazing scores'!C101</f>
        <v>0.6153846153846154</v>
      </c>
      <c r="H40" s="58" t="str">
        <f>'Data entry'!U40</f>
        <v>PLR, Photo, Invoice, Diary</v>
      </c>
      <c r="I40" s="132">
        <f>'Data entry'!W40</f>
        <v>3.75</v>
      </c>
      <c r="J40" s="78">
        <f t="shared" si="0"/>
        <v>3.75</v>
      </c>
      <c r="K40" s="61">
        <f t="shared" si="1"/>
        <v>0.25</v>
      </c>
      <c r="L40" s="46">
        <f t="shared" si="2"/>
        <v>0</v>
      </c>
      <c r="M40" s="61">
        <f t="shared" si="3"/>
        <v>0.25</v>
      </c>
    </row>
    <row r="41" spans="1:13" ht="12.75">
      <c r="A41" s="63">
        <f>'Data entry'!B41</f>
        <v>39</v>
      </c>
      <c r="B41" s="64">
        <f>'Data entry'!A41</f>
        <v>47</v>
      </c>
      <c r="C41" s="33" t="str">
        <f>'Data entry'!C41</f>
        <v>Name removed</v>
      </c>
      <c r="D41" s="157">
        <f>'current bses'!C41</f>
        <v>2.90625</v>
      </c>
      <c r="E41" s="157">
        <f>'current bses'!F41</f>
        <v>1.45</v>
      </c>
      <c r="F41" s="157">
        <f>'current bses'!I41</f>
        <v>0.5</v>
      </c>
      <c r="G41" s="157"/>
      <c r="H41" s="58" t="str">
        <f>'Data entry'!U41</f>
        <v>FLR, photo,invoice, farm budget, journal, GPS markin out</v>
      </c>
      <c r="I41" s="132">
        <f>'Data entry'!W41</f>
        <v>3.75</v>
      </c>
      <c r="J41" s="78">
        <f t="shared" si="0"/>
        <v>8.60625</v>
      </c>
      <c r="K41" s="61">
        <f t="shared" si="1"/>
        <v>0.57375</v>
      </c>
      <c r="L41" s="46">
        <f t="shared" si="2"/>
        <v>0.58125</v>
      </c>
      <c r="M41" s="61">
        <f t="shared" si="3"/>
        <v>0.57375</v>
      </c>
    </row>
    <row r="42" spans="1:13" ht="12.75">
      <c r="A42" s="63">
        <f>'Data entry'!B42</f>
        <v>40</v>
      </c>
      <c r="B42" s="64">
        <f>'Data entry'!A42</f>
        <v>49</v>
      </c>
      <c r="C42" s="33" t="str">
        <f>'Data entry'!C42</f>
        <v>Name removed</v>
      </c>
      <c r="D42" s="157">
        <f>'current bses'!C42</f>
        <v>0</v>
      </c>
      <c r="E42" s="157">
        <f>'current bses'!F42</f>
        <v>0</v>
      </c>
      <c r="F42" s="157">
        <f>'current bses'!I42</f>
        <v>0</v>
      </c>
      <c r="G42" s="157">
        <f>'grazing scores'!D101</f>
        <v>0.3076923076923077</v>
      </c>
      <c r="H42" s="58" t="str">
        <f>'Data entry'!U42</f>
        <v>photo, invoice, monitoring sites</v>
      </c>
      <c r="I42" s="132">
        <f>'Data entry'!W42</f>
        <v>3.75</v>
      </c>
      <c r="J42" s="78">
        <f t="shared" si="0"/>
        <v>3.75</v>
      </c>
      <c r="K42" s="61">
        <f t="shared" si="1"/>
        <v>0.25</v>
      </c>
      <c r="L42" s="46">
        <f t="shared" si="2"/>
        <v>0</v>
      </c>
      <c r="M42" s="61">
        <f t="shared" si="3"/>
        <v>0.25</v>
      </c>
    </row>
    <row r="43" spans="1:13" ht="12.75">
      <c r="A43" s="63">
        <f>'Data entry'!B43</f>
        <v>41</v>
      </c>
      <c r="B43" s="64">
        <f>'Data entry'!A43</f>
        <v>50</v>
      </c>
      <c r="C43" s="33" t="str">
        <f>'Data entry'!C43</f>
        <v>Name removed</v>
      </c>
      <c r="D43" s="157">
        <f>'current bses'!C43</f>
        <v>1.35625</v>
      </c>
      <c r="E43" s="157">
        <f>'current bses'!F43</f>
        <v>1.4375</v>
      </c>
      <c r="F43" s="157">
        <f>'current bses'!I43</f>
        <v>0.35</v>
      </c>
      <c r="G43" s="157"/>
      <c r="H43" s="58" t="str">
        <f>'Data entry'!U43</f>
        <v>FLR, Diary, spray log, budget</v>
      </c>
      <c r="I43" s="132">
        <f>'Data entry'!W43</f>
        <v>2.5</v>
      </c>
      <c r="J43" s="78">
        <f t="shared" si="0"/>
        <v>5.643750000000001</v>
      </c>
      <c r="K43" s="61">
        <f t="shared" si="1"/>
        <v>0.37625000000000003</v>
      </c>
      <c r="L43" s="46">
        <f t="shared" si="2"/>
        <v>0.27125</v>
      </c>
      <c r="M43" s="61">
        <f t="shared" si="3"/>
        <v>0.37625000000000003</v>
      </c>
    </row>
    <row r="44" spans="1:13" ht="12.75">
      <c r="A44" s="63">
        <f>'Data entry'!B44</f>
        <v>42</v>
      </c>
      <c r="B44" s="64">
        <f>'Data entry'!A44</f>
        <v>51</v>
      </c>
      <c r="C44" s="33" t="str">
        <f>'Data entry'!C44</f>
        <v>Name removed</v>
      </c>
      <c r="D44" s="157">
        <f>'current bses'!C44</f>
        <v>3.8</v>
      </c>
      <c r="E44" s="157">
        <f>'current bses'!F44</f>
        <v>2.3</v>
      </c>
      <c r="F44" s="157">
        <f>'current bses'!I44</f>
        <v>1.65</v>
      </c>
      <c r="G44" s="157"/>
      <c r="H44" s="58">
        <f>'Data entry'!U44</f>
        <v>0</v>
      </c>
      <c r="I44" s="132">
        <f>'Data entry'!W44</f>
        <v>0</v>
      </c>
      <c r="J44" s="78">
        <f t="shared" si="0"/>
        <v>7.75</v>
      </c>
      <c r="K44" s="61">
        <f t="shared" si="1"/>
        <v>0.5166666666666667</v>
      </c>
      <c r="L44" s="46">
        <f t="shared" si="2"/>
        <v>0.76</v>
      </c>
      <c r="M44" s="61">
        <f t="shared" si="3"/>
        <v>0.5166666666666667</v>
      </c>
    </row>
    <row r="45" spans="1:13" ht="12.75">
      <c r="A45" s="63">
        <f>'Data entry'!B45</f>
        <v>43</v>
      </c>
      <c r="B45" s="64" t="str">
        <f>'Data entry'!A45</f>
        <v>52a</v>
      </c>
      <c r="C45" s="33" t="str">
        <f>'Data entry'!C45</f>
        <v>Name removed</v>
      </c>
      <c r="D45" s="157">
        <f>'current bses'!C45</f>
        <v>2.875</v>
      </c>
      <c r="E45" s="157">
        <f>'current bses'!F45</f>
        <v>1.9875</v>
      </c>
      <c r="F45" s="157">
        <f>'current bses'!I45</f>
        <v>1.55</v>
      </c>
      <c r="G45" s="157"/>
      <c r="H45" s="58" t="str">
        <f>'Data entry'!U45</f>
        <v>FLR, photo, invoice, diary, spray log</v>
      </c>
      <c r="I45" s="132">
        <f>'Data entry'!W45</f>
        <v>3.75</v>
      </c>
      <c r="J45" s="78">
        <f t="shared" si="0"/>
        <v>10.1625</v>
      </c>
      <c r="K45" s="61">
        <f t="shared" si="1"/>
        <v>0.6775</v>
      </c>
      <c r="L45" s="46">
        <f t="shared" si="2"/>
        <v>0.575</v>
      </c>
      <c r="M45" s="61">
        <f t="shared" si="3"/>
        <v>0.6775</v>
      </c>
    </row>
    <row r="46" spans="1:13" ht="12.75">
      <c r="A46" s="63">
        <f>'Data entry'!B46</f>
        <v>44</v>
      </c>
      <c r="B46" s="64" t="str">
        <f>'Data entry'!A46</f>
        <v>52b</v>
      </c>
      <c r="C46" s="33" t="str">
        <f>'Data entry'!C46</f>
        <v>Name removed</v>
      </c>
      <c r="D46" s="157">
        <v>2.875</v>
      </c>
      <c r="E46" s="157">
        <v>1.9875</v>
      </c>
      <c r="F46" s="157">
        <v>1.55</v>
      </c>
      <c r="G46" s="157">
        <f>'grazing scores'!E101</f>
        <v>0.6923076923076923</v>
      </c>
      <c r="H46" s="58" t="str">
        <f>'Data entry'!U46</f>
        <v>Photo</v>
      </c>
      <c r="I46" s="132">
        <f>'Data entry'!W46</f>
        <v>1.25</v>
      </c>
      <c r="J46" s="78">
        <f t="shared" si="0"/>
        <v>7.6625</v>
      </c>
      <c r="K46" s="61">
        <f t="shared" si="1"/>
        <v>0.5108333333333334</v>
      </c>
      <c r="L46" s="46">
        <f t="shared" si="2"/>
        <v>0.575</v>
      </c>
      <c r="M46" s="61">
        <f t="shared" si="3"/>
        <v>0.5108333333333334</v>
      </c>
    </row>
    <row r="47" spans="1:13" ht="12.75">
      <c r="A47" s="63">
        <f>'Data entry'!B47</f>
        <v>45</v>
      </c>
      <c r="B47" s="64">
        <f>'Data entry'!A47</f>
        <v>53</v>
      </c>
      <c r="C47" s="33" t="str">
        <f>'Data entry'!C47</f>
        <v>Name removed</v>
      </c>
      <c r="D47" s="157">
        <f>'current bses'!C47</f>
        <v>1.65625</v>
      </c>
      <c r="E47" s="157">
        <f>'current bses'!F47</f>
        <v>1.45</v>
      </c>
      <c r="F47" s="157">
        <f>'current bses'!I47</f>
        <v>0.05</v>
      </c>
      <c r="G47" s="157"/>
      <c r="H47" s="58">
        <f>'Data entry'!U47</f>
        <v>0</v>
      </c>
      <c r="I47" s="132">
        <f>'Data entry'!W47</f>
        <v>0</v>
      </c>
      <c r="J47" s="78">
        <f t="shared" si="0"/>
        <v>3.15625</v>
      </c>
      <c r="K47" s="61">
        <f t="shared" si="1"/>
        <v>0.21041666666666667</v>
      </c>
      <c r="L47" s="46">
        <f t="shared" si="2"/>
        <v>0.33125</v>
      </c>
      <c r="M47" s="61">
        <f t="shared" si="3"/>
        <v>0.21041666666666667</v>
      </c>
    </row>
    <row r="48" spans="1:13" ht="12.75">
      <c r="A48" s="63">
        <f>'Data entry'!B48</f>
        <v>46</v>
      </c>
      <c r="B48" s="64">
        <f>'Data entry'!A48</f>
        <v>54</v>
      </c>
      <c r="C48" s="33" t="str">
        <f>'Data entry'!C48</f>
        <v>Name removed</v>
      </c>
      <c r="D48" s="157">
        <f>'current bses'!C48</f>
        <v>1.25625</v>
      </c>
      <c r="E48" s="157">
        <f>'current bses'!F48</f>
        <v>1.5</v>
      </c>
      <c r="F48" s="157">
        <f>'current bses'!I48</f>
        <v>0.55</v>
      </c>
      <c r="G48" s="157"/>
      <c r="H48" s="58">
        <f>'Data entry'!U48</f>
        <v>0</v>
      </c>
      <c r="I48" s="132">
        <f>'Data entry'!W48</f>
        <v>0</v>
      </c>
      <c r="J48" s="78">
        <f t="shared" si="0"/>
        <v>3.3062500000000004</v>
      </c>
      <c r="K48" s="61">
        <f t="shared" si="1"/>
        <v>0.22041666666666668</v>
      </c>
      <c r="L48" s="46">
        <f t="shared" si="2"/>
        <v>0.25125000000000003</v>
      </c>
      <c r="M48" s="61">
        <f t="shared" si="3"/>
        <v>0.22041666666666668</v>
      </c>
    </row>
    <row r="49" spans="1:13" ht="12.75">
      <c r="A49" s="63">
        <f>'Data entry'!B49</f>
        <v>47</v>
      </c>
      <c r="B49" s="64">
        <f>'Data entry'!A49</f>
        <v>59</v>
      </c>
      <c r="C49" s="33" t="str">
        <f>'Data entry'!C49</f>
        <v>Name removed</v>
      </c>
      <c r="D49" s="157">
        <f>'current bses'!C49</f>
        <v>1.28125</v>
      </c>
      <c r="E49" s="157">
        <f>'current bses'!F49</f>
        <v>1.375</v>
      </c>
      <c r="F49" s="157">
        <f>'current bses'!I49</f>
        <v>1.4</v>
      </c>
      <c r="G49" s="157"/>
      <c r="H49" s="58" t="str">
        <f>'Data entry'!U49</f>
        <v>Photo</v>
      </c>
      <c r="I49" s="132">
        <f>'Data entry'!W49</f>
        <v>1.25</v>
      </c>
      <c r="J49" s="78">
        <f t="shared" si="0"/>
        <v>5.30625</v>
      </c>
      <c r="K49" s="61">
        <f t="shared" si="1"/>
        <v>0.35375</v>
      </c>
      <c r="L49" s="46">
        <f t="shared" si="2"/>
        <v>0.25625</v>
      </c>
      <c r="M49" s="61">
        <f t="shared" si="3"/>
        <v>0.35375</v>
      </c>
    </row>
    <row r="50" spans="1:13" ht="12.75">
      <c r="A50" s="63">
        <f>'Data entry'!B50</f>
        <v>48</v>
      </c>
      <c r="B50" s="64">
        <f>'Data entry'!A50</f>
        <v>61</v>
      </c>
      <c r="C50" s="33" t="str">
        <f>'Data entry'!C50</f>
        <v>Name removed</v>
      </c>
      <c r="D50" s="157">
        <f>'current bses'!C50</f>
        <v>0.43125</v>
      </c>
      <c r="E50" s="157">
        <f>'current bses'!F50</f>
        <v>1.1625</v>
      </c>
      <c r="F50" s="157">
        <f>'current bses'!I50</f>
        <v>0.15</v>
      </c>
      <c r="G50" s="157"/>
      <c r="H50" s="58">
        <f>'Data entry'!U50</f>
        <v>0</v>
      </c>
      <c r="I50" s="132">
        <f>'Data entry'!W50</f>
        <v>0</v>
      </c>
      <c r="J50" s="78">
        <f t="shared" si="0"/>
        <v>1.74375</v>
      </c>
      <c r="K50" s="61">
        <f t="shared" si="1"/>
        <v>0.11624999999999999</v>
      </c>
      <c r="L50" s="46">
        <f t="shared" si="2"/>
        <v>0.08625000000000001</v>
      </c>
      <c r="M50" s="61">
        <f t="shared" si="3"/>
        <v>0.11624999999999999</v>
      </c>
    </row>
    <row r="51" spans="1:13" ht="12.75">
      <c r="A51" s="63">
        <f>'Data entry'!B51</f>
        <v>49</v>
      </c>
      <c r="B51" s="64" t="str">
        <f>'Data entry'!A51</f>
        <v>62a</v>
      </c>
      <c r="C51" s="33" t="str">
        <f>'Data entry'!C51</f>
        <v>Name removed</v>
      </c>
      <c r="D51" s="157">
        <f>'current bses'!C51</f>
        <v>1.65</v>
      </c>
      <c r="E51" s="157">
        <f>'current bses'!F51</f>
        <v>1.8875</v>
      </c>
      <c r="F51" s="157">
        <f>'current bses'!I51</f>
        <v>1.4</v>
      </c>
      <c r="G51" s="157"/>
      <c r="H51" s="58" t="str">
        <f>'Data entry'!U51</f>
        <v>FLR, BSES paddock journal, spray log, farm budget</v>
      </c>
      <c r="I51" s="132">
        <f>'Data entry'!W51</f>
        <v>2.5</v>
      </c>
      <c r="J51" s="78">
        <f t="shared" si="0"/>
        <v>7.4375</v>
      </c>
      <c r="K51" s="61">
        <f t="shared" si="1"/>
        <v>0.49583333333333335</v>
      </c>
      <c r="L51" s="46">
        <f t="shared" si="2"/>
        <v>0.32999999999999996</v>
      </c>
      <c r="M51" s="61">
        <f t="shared" si="3"/>
        <v>0.49583333333333335</v>
      </c>
    </row>
    <row r="52" spans="1:13" ht="12.75">
      <c r="A52" s="63">
        <f>'Data entry'!B52</f>
        <v>50</v>
      </c>
      <c r="B52" s="64" t="str">
        <f>'Data entry'!A52</f>
        <v>62b</v>
      </c>
      <c r="C52" s="33" t="str">
        <f>'Data entry'!C52</f>
        <v>Name removed</v>
      </c>
      <c r="D52" s="157">
        <f>'current bses'!C52</f>
        <v>1.65</v>
      </c>
      <c r="E52" s="157">
        <f>'current bses'!F52</f>
        <v>1.8875</v>
      </c>
      <c r="F52" s="157">
        <f>'current bses'!I52</f>
        <v>1.4</v>
      </c>
      <c r="G52" s="157"/>
      <c r="H52" s="58" t="str">
        <f>'Data entry'!U52</f>
        <v>FLR,photo,invoice</v>
      </c>
      <c r="I52" s="132">
        <f>'Data entry'!W52</f>
        <v>3.75</v>
      </c>
      <c r="J52" s="78">
        <f t="shared" si="0"/>
        <v>8.6875</v>
      </c>
      <c r="K52" s="61">
        <f t="shared" si="1"/>
        <v>0.5791666666666667</v>
      </c>
      <c r="L52" s="46">
        <f t="shared" si="2"/>
        <v>0.32999999999999996</v>
      </c>
      <c r="M52" s="61">
        <f t="shared" si="3"/>
        <v>0.5791666666666667</v>
      </c>
    </row>
    <row r="53" spans="1:13" ht="12.75">
      <c r="A53" s="63">
        <f>'Data entry'!B53</f>
        <v>51</v>
      </c>
      <c r="B53" s="64">
        <f>'Data entry'!A53</f>
        <v>64</v>
      </c>
      <c r="C53" s="33" t="str">
        <f>'Data entry'!C53</f>
        <v>Name removed</v>
      </c>
      <c r="D53" s="157">
        <f>'current bses'!C53</f>
        <v>2.1</v>
      </c>
      <c r="E53" s="157">
        <f>'current bses'!F53</f>
        <v>0</v>
      </c>
      <c r="F53" s="157">
        <f>'current bses'!I53</f>
        <v>0</v>
      </c>
      <c r="G53" s="157"/>
      <c r="H53" s="58" t="str">
        <f>'Data entry'!U53</f>
        <v>Photo</v>
      </c>
      <c r="I53" s="132">
        <f>'Data entry'!W53</f>
        <v>1.25</v>
      </c>
      <c r="J53" s="78">
        <f t="shared" si="0"/>
        <v>3.35</v>
      </c>
      <c r="K53" s="61">
        <f t="shared" si="1"/>
        <v>0.22333333333333333</v>
      </c>
      <c r="L53" s="46">
        <f t="shared" si="2"/>
        <v>0.42000000000000004</v>
      </c>
      <c r="M53" s="61">
        <f t="shared" si="3"/>
        <v>0.22333333333333333</v>
      </c>
    </row>
    <row r="54" spans="1:13" ht="12.75">
      <c r="A54" s="63">
        <f>'Data entry'!B54</f>
        <v>52</v>
      </c>
      <c r="B54" s="64">
        <f>'Data entry'!A54</f>
        <v>66</v>
      </c>
      <c r="C54" s="33" t="str">
        <f>'Data entry'!C54</f>
        <v>Name removed</v>
      </c>
      <c r="D54" s="157">
        <f>'current bses'!C54</f>
        <v>3.175</v>
      </c>
      <c r="E54" s="157">
        <f>'current bses'!F54</f>
        <v>1.6875</v>
      </c>
      <c r="F54" s="157">
        <f>'current bses'!I54</f>
        <v>0.4</v>
      </c>
      <c r="G54" s="157"/>
      <c r="H54" s="58">
        <f>'Data entry'!U54</f>
        <v>0</v>
      </c>
      <c r="I54" s="132">
        <f>'Data entry'!W54</f>
        <v>0</v>
      </c>
      <c r="J54" s="78">
        <f t="shared" si="0"/>
        <v>5.2625</v>
      </c>
      <c r="K54" s="61">
        <f t="shared" si="1"/>
        <v>0.35083333333333333</v>
      </c>
      <c r="L54" s="46">
        <f t="shared" si="2"/>
        <v>0.635</v>
      </c>
      <c r="M54" s="61">
        <f t="shared" si="3"/>
        <v>0.35083333333333333</v>
      </c>
    </row>
    <row r="55" spans="1:13" ht="12.75">
      <c r="A55" s="63">
        <f>'Data entry'!B55</f>
        <v>53</v>
      </c>
      <c r="B55" s="64">
        <f>'Data entry'!A55</f>
        <v>69</v>
      </c>
      <c r="C55" s="33" t="str">
        <f>'Data entry'!C55</f>
        <v>Name removed</v>
      </c>
      <c r="D55" s="157">
        <f>'current bses'!C55</f>
        <v>0.53125</v>
      </c>
      <c r="E55" s="157">
        <f>'current bses'!F55</f>
        <v>1.55</v>
      </c>
      <c r="F55" s="157">
        <f>'current bses'!I55</f>
        <v>0.15</v>
      </c>
      <c r="G55" s="157"/>
      <c r="H55" s="58" t="str">
        <f>'Data entry'!U55</f>
        <v>photo and diary</v>
      </c>
      <c r="I55" s="132">
        <f>'Data entry'!W55</f>
        <v>2.5</v>
      </c>
      <c r="J55" s="78">
        <f t="shared" si="0"/>
        <v>4.731249999999999</v>
      </c>
      <c r="K55" s="61">
        <f t="shared" si="1"/>
        <v>0.3154166666666666</v>
      </c>
      <c r="L55" s="46">
        <f t="shared" si="2"/>
        <v>0.10625</v>
      </c>
      <c r="M55" s="61">
        <f t="shared" si="3"/>
        <v>0.3154166666666666</v>
      </c>
    </row>
    <row r="56" spans="1:13" ht="12.75">
      <c r="A56" s="63">
        <f>'Data entry'!B56</f>
        <v>54</v>
      </c>
      <c r="B56" s="64" t="str">
        <f>'Data entry'!A56</f>
        <v>70a</v>
      </c>
      <c r="C56" s="33" t="str">
        <f>'Data entry'!C56</f>
        <v>Name removed</v>
      </c>
      <c r="D56" s="157">
        <f>'current bses'!C56</f>
        <v>2.45</v>
      </c>
      <c r="E56" s="157">
        <f>'current bses'!F56</f>
        <v>1.5625</v>
      </c>
      <c r="F56" s="157">
        <f>'current bses'!I56</f>
        <v>1.15</v>
      </c>
      <c r="G56" s="157"/>
      <c r="H56" s="58" t="str">
        <f>'Data entry'!U56</f>
        <v>Photo, Invoice</v>
      </c>
      <c r="I56" s="132">
        <f>'Data entry'!W56</f>
        <v>2.5</v>
      </c>
      <c r="J56" s="78">
        <f t="shared" si="0"/>
        <v>7.6625</v>
      </c>
      <c r="K56" s="61">
        <f t="shared" si="1"/>
        <v>0.5108333333333334</v>
      </c>
      <c r="L56" s="46">
        <f t="shared" si="2"/>
        <v>0.49000000000000005</v>
      </c>
      <c r="M56" s="61">
        <f t="shared" si="3"/>
        <v>0.5108333333333334</v>
      </c>
    </row>
    <row r="57" spans="1:13" ht="12.75">
      <c r="A57" s="63">
        <f>'Data entry'!B57</f>
        <v>55</v>
      </c>
      <c r="B57" s="64" t="str">
        <f>'Data entry'!A57</f>
        <v>70b</v>
      </c>
      <c r="C57" s="33" t="str">
        <f>'Data entry'!C57</f>
        <v>Name removed</v>
      </c>
      <c r="D57" s="157">
        <f>'current bses'!C57</f>
        <v>2.45</v>
      </c>
      <c r="E57" s="157">
        <f>'current bses'!F57</f>
        <v>1.5625</v>
      </c>
      <c r="F57" s="157">
        <f>'current bses'!I57</f>
        <v>1.15</v>
      </c>
      <c r="G57" s="157"/>
      <c r="H57" s="58" t="str">
        <f>'Data entry'!U57</f>
        <v>Photo, Invoice</v>
      </c>
      <c r="I57" s="132">
        <f>'Data entry'!W57</f>
        <v>2.5</v>
      </c>
      <c r="J57" s="78">
        <f t="shared" si="0"/>
        <v>7.6625</v>
      </c>
      <c r="K57" s="61">
        <f t="shared" si="1"/>
        <v>0.5108333333333334</v>
      </c>
      <c r="L57" s="46">
        <f t="shared" si="2"/>
        <v>0.49000000000000005</v>
      </c>
      <c r="M57" s="61">
        <f t="shared" si="3"/>
        <v>0.5108333333333334</v>
      </c>
    </row>
    <row r="58" spans="1:13" ht="12.75">
      <c r="A58" s="63">
        <f>'Data entry'!B58</f>
        <v>56</v>
      </c>
      <c r="B58" s="64">
        <f>'Data entry'!A58</f>
        <v>71</v>
      </c>
      <c r="C58" s="33" t="str">
        <f>'Data entry'!C58</f>
        <v>Name removed</v>
      </c>
      <c r="D58" s="157">
        <f>'current bses'!C58</f>
        <v>2.45</v>
      </c>
      <c r="E58" s="157">
        <f>'current bses'!F58</f>
        <v>1.5625</v>
      </c>
      <c r="F58" s="157">
        <f>'current bses'!I58</f>
        <v>1.15</v>
      </c>
      <c r="G58" s="157"/>
      <c r="H58" s="58" t="str">
        <f>'Data entry'!U58</f>
        <v>Photo, Invoice</v>
      </c>
      <c r="I58" s="132">
        <f>'Data entry'!W58</f>
        <v>2.5</v>
      </c>
      <c r="J58" s="78">
        <f t="shared" si="0"/>
        <v>7.6625</v>
      </c>
      <c r="K58" s="61">
        <f t="shared" si="1"/>
        <v>0.5108333333333334</v>
      </c>
      <c r="L58" s="46">
        <f t="shared" si="2"/>
        <v>0.49000000000000005</v>
      </c>
      <c r="M58" s="61">
        <f t="shared" si="3"/>
        <v>0.5108333333333334</v>
      </c>
    </row>
    <row r="59" spans="1:13" ht="12.75">
      <c r="A59" s="63">
        <f>'Data entry'!B59</f>
        <v>57</v>
      </c>
      <c r="B59" s="64">
        <f>'Data entry'!A59</f>
        <v>72</v>
      </c>
      <c r="C59" s="33" t="str">
        <f>'Data entry'!C59</f>
        <v>Name removed</v>
      </c>
      <c r="D59" s="157">
        <f>'current bses'!C59</f>
        <v>2.93125</v>
      </c>
      <c r="E59" s="157">
        <f>'current bses'!F59</f>
        <v>1.4375</v>
      </c>
      <c r="F59" s="157">
        <f>'current bses'!I59</f>
        <v>0.05</v>
      </c>
      <c r="G59" s="157"/>
      <c r="H59" s="58" t="str">
        <f>'Data entry'!U59</f>
        <v>FLR, photo, invoice, farm budget</v>
      </c>
      <c r="I59" s="132">
        <f>'Data entry'!W59</f>
        <v>3.75</v>
      </c>
      <c r="J59" s="78">
        <f t="shared" si="0"/>
        <v>8.16875</v>
      </c>
      <c r="K59" s="61">
        <f t="shared" si="1"/>
        <v>0.5445833333333333</v>
      </c>
      <c r="L59" s="46">
        <f t="shared" si="2"/>
        <v>0.5862499999999999</v>
      </c>
      <c r="M59" s="61">
        <f t="shared" si="3"/>
        <v>0.5445833333333333</v>
      </c>
    </row>
    <row r="60" spans="1:13" ht="12.75">
      <c r="A60" s="63">
        <f>'Data entry'!B60</f>
        <v>58</v>
      </c>
      <c r="B60" s="64">
        <f>'Data entry'!A60</f>
        <v>73</v>
      </c>
      <c r="C60" s="33" t="str">
        <f>'Data entry'!C60</f>
        <v>Name removed</v>
      </c>
      <c r="D60" s="157">
        <f>'current bses'!C60</f>
        <v>2.20625</v>
      </c>
      <c r="E60" s="157">
        <f>'current bses'!F60</f>
        <v>1.6875</v>
      </c>
      <c r="F60" s="157">
        <f>'current bses'!I60</f>
        <v>1.15</v>
      </c>
      <c r="G60" s="157"/>
      <c r="H60" s="58" t="str">
        <f>'Data entry'!U60</f>
        <v>FLR, photo, invoice</v>
      </c>
      <c r="I60" s="132">
        <f>'Data entry'!W60</f>
        <v>3.75</v>
      </c>
      <c r="J60" s="78">
        <f t="shared" si="0"/>
        <v>8.79375</v>
      </c>
      <c r="K60" s="61">
        <f t="shared" si="1"/>
        <v>0.5862499999999999</v>
      </c>
      <c r="L60" s="46">
        <f t="shared" si="2"/>
        <v>0.44125</v>
      </c>
      <c r="M60" s="61">
        <f t="shared" si="3"/>
        <v>0.5862499999999999</v>
      </c>
    </row>
    <row r="61" spans="1:13" ht="12.75">
      <c r="A61" s="63">
        <f>'Data entry'!B61</f>
        <v>59</v>
      </c>
      <c r="B61" s="64">
        <f>'Data entry'!A61</f>
        <v>74</v>
      </c>
      <c r="C61" s="33" t="str">
        <f>'Data entry'!C61</f>
        <v>Name removed</v>
      </c>
      <c r="D61" s="157">
        <f>'current bses'!C61</f>
        <v>2.78125</v>
      </c>
      <c r="E61" s="157">
        <f>'current bses'!F61</f>
        <v>1.45</v>
      </c>
      <c r="F61" s="157">
        <f>'current bses'!I61</f>
        <v>0.15</v>
      </c>
      <c r="G61" s="157"/>
      <c r="H61" s="58" t="str">
        <f>'Data entry'!U61</f>
        <v>FLR, photo, monitoring sites, Paddock journal, GPS marking out. </v>
      </c>
      <c r="I61" s="132">
        <f>'Data entry'!W61</f>
        <v>3.75</v>
      </c>
      <c r="J61" s="78">
        <f t="shared" si="0"/>
        <v>8.131250000000001</v>
      </c>
      <c r="K61" s="61">
        <f t="shared" si="1"/>
        <v>0.5420833333333335</v>
      </c>
      <c r="L61" s="46">
        <f t="shared" si="2"/>
        <v>0.55625</v>
      </c>
      <c r="M61" s="61">
        <f t="shared" si="3"/>
        <v>0.5420833333333335</v>
      </c>
    </row>
    <row r="62" spans="1:13" ht="12.75">
      <c r="A62" s="63">
        <f>'Data entry'!B62</f>
        <v>60</v>
      </c>
      <c r="B62" s="64">
        <f>'Data entry'!A62</f>
        <v>76</v>
      </c>
      <c r="C62" s="33" t="str">
        <f>'Data entry'!C62</f>
        <v>Name removed</v>
      </c>
      <c r="D62" s="157">
        <f>'current bses'!C62</f>
        <v>2.33</v>
      </c>
      <c r="E62" s="157">
        <f>'current bses'!F62</f>
        <v>1.5625</v>
      </c>
      <c r="F62" s="157">
        <f>'current bses'!I62</f>
        <v>1.15</v>
      </c>
      <c r="G62" s="157"/>
      <c r="H62" s="58" t="str">
        <f>'Data entry'!U62</f>
        <v>photo, invoice</v>
      </c>
      <c r="I62" s="132">
        <f>'Data entry'!W62</f>
        <v>2.5</v>
      </c>
      <c r="J62" s="78">
        <f t="shared" si="0"/>
        <v>7.5425</v>
      </c>
      <c r="K62" s="61">
        <f t="shared" si="1"/>
        <v>0.5028333333333334</v>
      </c>
      <c r="L62" s="46">
        <f t="shared" si="2"/>
        <v>0.466</v>
      </c>
      <c r="M62" s="61">
        <f t="shared" si="3"/>
        <v>0.5028333333333334</v>
      </c>
    </row>
    <row r="63" spans="1:13" ht="12.75">
      <c r="A63" s="63">
        <f>'Data entry'!B63</f>
        <v>61</v>
      </c>
      <c r="B63" s="64">
        <f>'Data entry'!A63</f>
        <v>77</v>
      </c>
      <c r="C63" s="33" t="str">
        <f>'Data entry'!C63</f>
        <v>Name removed</v>
      </c>
      <c r="D63" s="157">
        <f>'current bses'!C63</f>
        <v>1.28125</v>
      </c>
      <c r="E63" s="157">
        <f>'current bses'!F63</f>
        <v>1.3125</v>
      </c>
      <c r="F63" s="157">
        <f>'current bses'!I63</f>
        <v>0.05</v>
      </c>
      <c r="G63" s="157"/>
      <c r="H63" s="58" t="str">
        <f>'Data entry'!U63</f>
        <v>FLR, Diary, paddock journal, GPS markout</v>
      </c>
      <c r="I63" s="132">
        <f>'Data entry'!W63</f>
        <v>1.25</v>
      </c>
      <c r="J63" s="78">
        <f t="shared" si="0"/>
        <v>3.89375</v>
      </c>
      <c r="K63" s="61">
        <f t="shared" si="1"/>
        <v>0.25958333333333333</v>
      </c>
      <c r="L63" s="46">
        <f t="shared" si="2"/>
        <v>0.25625</v>
      </c>
      <c r="M63" s="61">
        <f t="shared" si="3"/>
        <v>0.25958333333333333</v>
      </c>
    </row>
    <row r="64" spans="1:13" ht="12.75">
      <c r="A64" s="63">
        <f>'Data entry'!B64</f>
        <v>62</v>
      </c>
      <c r="B64" s="64">
        <f>'Data entry'!A64</f>
        <v>78</v>
      </c>
      <c r="C64" s="33" t="str">
        <f>'Data entry'!C64</f>
        <v>Name removed</v>
      </c>
      <c r="D64" s="441">
        <f>'current bses'!C64</f>
        <v>0</v>
      </c>
      <c r="E64" s="441">
        <f>'current bses'!F64</f>
        <v>0</v>
      </c>
      <c r="F64" s="441">
        <f>'current bses'!I64</f>
        <v>0</v>
      </c>
      <c r="G64" s="441">
        <f>'grazing scores'!F101</f>
        <v>0.46153846153846156</v>
      </c>
      <c r="H64" s="58" t="str">
        <f>'Data entry'!U64</f>
        <v>FLR, Photo, invoice, diary</v>
      </c>
      <c r="I64" s="132">
        <f>'Data entry'!W64</f>
        <v>3.75</v>
      </c>
      <c r="J64" s="78">
        <f t="shared" si="0"/>
        <v>3.75</v>
      </c>
      <c r="K64" s="61">
        <f>G64/2+I64/10</f>
        <v>0.6057692307692308</v>
      </c>
      <c r="M64" s="61">
        <f t="shared" si="3"/>
        <v>0.6057692307692308</v>
      </c>
    </row>
    <row r="65" spans="1:13" ht="12.75">
      <c r="A65" s="63">
        <f>'Data entry'!B65</f>
        <v>63</v>
      </c>
      <c r="B65" s="64" t="str">
        <f>'Data entry'!A65</f>
        <v>80a</v>
      </c>
      <c r="C65" s="33" t="str">
        <f>'Data entry'!C65</f>
        <v>Name removed</v>
      </c>
      <c r="D65" s="157">
        <f>'current bses'!C65</f>
        <v>3.525</v>
      </c>
      <c r="E65" s="157">
        <f>'current bses'!F65</f>
        <v>1.9375</v>
      </c>
      <c r="F65" s="157">
        <f>'current bses'!I65</f>
        <v>0.15</v>
      </c>
      <c r="G65" s="157"/>
      <c r="H65" s="58">
        <f>'Data entry'!U65</f>
        <v>0</v>
      </c>
      <c r="I65" s="132">
        <f>'Data entry'!W65</f>
        <v>0</v>
      </c>
      <c r="J65" s="78">
        <f t="shared" si="0"/>
        <v>5.612500000000001</v>
      </c>
      <c r="K65" s="61">
        <f t="shared" si="1"/>
        <v>0.3741666666666667</v>
      </c>
      <c r="L65" s="46">
        <f t="shared" si="2"/>
        <v>0.705</v>
      </c>
      <c r="M65" s="61">
        <f t="shared" si="3"/>
        <v>0.3741666666666667</v>
      </c>
    </row>
    <row r="66" spans="1:13" ht="12.75">
      <c r="A66" s="63">
        <f>'Data entry'!B66</f>
        <v>64</v>
      </c>
      <c r="B66" s="64" t="str">
        <f>'Data entry'!A66</f>
        <v>80b</v>
      </c>
      <c r="C66" s="33" t="str">
        <f>'Data entry'!C66</f>
        <v>Name removed</v>
      </c>
      <c r="D66" s="157">
        <f>'current bses'!C66</f>
        <v>3.525</v>
      </c>
      <c r="E66" s="157">
        <f>'current bses'!F66</f>
        <v>1.9375</v>
      </c>
      <c r="F66" s="157">
        <f>'current bses'!I66</f>
        <v>0.15</v>
      </c>
      <c r="G66" s="157"/>
      <c r="H66" s="58">
        <f>'Data entry'!U66</f>
        <v>0</v>
      </c>
      <c r="I66" s="132">
        <f>'Data entry'!W66</f>
        <v>0</v>
      </c>
      <c r="J66" s="78">
        <f t="shared" si="0"/>
        <v>5.612500000000001</v>
      </c>
      <c r="K66" s="61">
        <f t="shared" si="1"/>
        <v>0.3741666666666667</v>
      </c>
      <c r="L66" s="46">
        <f t="shared" si="2"/>
        <v>0.705</v>
      </c>
      <c r="M66" s="61">
        <f t="shared" si="3"/>
        <v>0.3741666666666667</v>
      </c>
    </row>
    <row r="67" spans="1:13" ht="12.75">
      <c r="A67" s="63">
        <f>'Data entry'!B67</f>
        <v>65</v>
      </c>
      <c r="B67" s="64">
        <f>'Data entry'!A67</f>
        <v>82</v>
      </c>
      <c r="C67" s="33" t="str">
        <f>'Data entry'!C67</f>
        <v>Name removed</v>
      </c>
      <c r="D67" s="157">
        <f>'current bses'!C67</f>
        <v>2.05625</v>
      </c>
      <c r="E67" s="157">
        <f>'current bses'!F67</f>
        <v>1.475</v>
      </c>
      <c r="F67" s="157">
        <f>'current bses'!I67</f>
        <v>1.4</v>
      </c>
      <c r="G67" s="157"/>
      <c r="H67" s="58" t="str">
        <f>'Data entry'!U67</f>
        <v>FLR, Photo, Invoice, Monitor</v>
      </c>
      <c r="I67" s="132">
        <f>'Data entry'!W67</f>
        <v>5</v>
      </c>
      <c r="J67" s="78">
        <f aca="true" t="shared" si="4" ref="J67:J89">D67+E67+F67+I67</f>
        <v>9.93125</v>
      </c>
      <c r="K67" s="61">
        <f t="shared" si="1"/>
        <v>0.6620833333333334</v>
      </c>
      <c r="L67" s="46">
        <f t="shared" si="2"/>
        <v>0.41125</v>
      </c>
      <c r="M67" s="61">
        <f t="shared" si="3"/>
        <v>0.6620833333333334</v>
      </c>
    </row>
    <row r="68" spans="1:13" ht="12.75">
      <c r="A68" s="63">
        <f>'Data entry'!B68</f>
        <v>66</v>
      </c>
      <c r="B68" s="64" t="str">
        <f>'Data entry'!A68</f>
        <v>85a</v>
      </c>
      <c r="C68" s="33" t="str">
        <f>'Data entry'!C68</f>
        <v>Name removed</v>
      </c>
      <c r="D68" s="157">
        <f>'current bses'!C68</f>
        <v>2.275</v>
      </c>
      <c r="E68" s="157">
        <f>'current bses'!F68</f>
        <v>1.7625</v>
      </c>
      <c r="F68" s="157">
        <f>'current bses'!I68</f>
        <v>0.15</v>
      </c>
      <c r="G68" s="157"/>
      <c r="H68" s="58" t="str">
        <f>'Data entry'!U68</f>
        <v>Photo</v>
      </c>
      <c r="I68" s="132">
        <f>'Data entry'!W68</f>
        <v>1.25</v>
      </c>
      <c r="J68" s="78">
        <f t="shared" si="4"/>
        <v>5.4375</v>
      </c>
      <c r="K68" s="61">
        <f aca="true" t="shared" si="5" ref="K68:K88">J68/15</f>
        <v>0.3625</v>
      </c>
      <c r="L68" s="46">
        <f aca="true" t="shared" si="6" ref="L68:L88">D68/5</f>
        <v>0.45499999999999996</v>
      </c>
      <c r="M68" s="61">
        <f aca="true" t="shared" si="7" ref="M68:M88">K68</f>
        <v>0.3625</v>
      </c>
    </row>
    <row r="69" spans="1:13" ht="12.75">
      <c r="A69" s="63">
        <f>'Data entry'!B69</f>
        <v>67</v>
      </c>
      <c r="B69" s="64" t="str">
        <f>'Data entry'!A69</f>
        <v>85b</v>
      </c>
      <c r="C69" s="33" t="str">
        <f>'Data entry'!C69</f>
        <v>Name removed</v>
      </c>
      <c r="D69" s="157">
        <f>'current bses'!C69</f>
        <v>2.275</v>
      </c>
      <c r="E69" s="157">
        <f>'current bses'!F69</f>
        <v>1.7625</v>
      </c>
      <c r="F69" s="157">
        <f>'current bses'!I69</f>
        <v>0.15</v>
      </c>
      <c r="G69" s="157"/>
      <c r="H69" s="58" t="str">
        <f>'Data entry'!U69</f>
        <v>Photo</v>
      </c>
      <c r="I69" s="132">
        <f>'Data entry'!W69</f>
        <v>1.25</v>
      </c>
      <c r="J69" s="78">
        <f t="shared" si="4"/>
        <v>5.4375</v>
      </c>
      <c r="K69" s="61">
        <f t="shared" si="5"/>
        <v>0.3625</v>
      </c>
      <c r="L69" s="46">
        <f t="shared" si="6"/>
        <v>0.45499999999999996</v>
      </c>
      <c r="M69" s="61">
        <f t="shared" si="7"/>
        <v>0.3625</v>
      </c>
    </row>
    <row r="70" spans="1:13" ht="12.75">
      <c r="A70" s="63">
        <f>'Data entry'!B70</f>
        <v>68</v>
      </c>
      <c r="B70" s="64">
        <f>'Data entry'!A70</f>
        <v>87</v>
      </c>
      <c r="C70" s="33" t="str">
        <f>'Data entry'!C70</f>
        <v>Name removed</v>
      </c>
      <c r="D70" s="157">
        <f>'current bses'!C70</f>
        <v>0.68125</v>
      </c>
      <c r="E70" s="157">
        <f>'current bses'!F70</f>
        <v>1.1375</v>
      </c>
      <c r="F70" s="157">
        <f>'current bses'!I70</f>
        <v>0.15</v>
      </c>
      <c r="G70" s="157"/>
      <c r="H70" s="58">
        <f>'Data entry'!U70</f>
        <v>0</v>
      </c>
      <c r="I70" s="132">
        <f>'Data entry'!W70</f>
        <v>0</v>
      </c>
      <c r="J70" s="78">
        <f t="shared" si="4"/>
        <v>1.96875</v>
      </c>
      <c r="K70" s="61">
        <f t="shared" si="5"/>
        <v>0.13125</v>
      </c>
      <c r="L70" s="46">
        <f t="shared" si="6"/>
        <v>0.13625</v>
      </c>
      <c r="M70" s="61">
        <f t="shared" si="7"/>
        <v>0.13125</v>
      </c>
    </row>
    <row r="71" spans="1:13" ht="12.75">
      <c r="A71" s="63">
        <f>'Data entry'!B71</f>
        <v>69</v>
      </c>
      <c r="B71" s="64">
        <f>'Data entry'!A71</f>
        <v>88</v>
      </c>
      <c r="C71" s="33" t="str">
        <f>'Data entry'!C71</f>
        <v>Name removed</v>
      </c>
      <c r="D71" s="157">
        <f>'current bses'!C71</f>
        <v>2.28125</v>
      </c>
      <c r="E71" s="157">
        <f>'current bses'!F71</f>
        <v>1.5</v>
      </c>
      <c r="F71" s="157">
        <f>'current bses'!I71</f>
        <v>1.15</v>
      </c>
      <c r="G71" s="157"/>
      <c r="H71" s="58" t="str">
        <f>'Data entry'!U71</f>
        <v>FLR, invoice, diary (10years) and spray log, farm budget</v>
      </c>
      <c r="I71" s="132">
        <f>'Data entry'!W71</f>
        <v>2.5</v>
      </c>
      <c r="J71" s="78">
        <f t="shared" si="4"/>
        <v>7.43125</v>
      </c>
      <c r="K71" s="61">
        <f t="shared" si="5"/>
        <v>0.49541666666666667</v>
      </c>
      <c r="L71" s="46">
        <f t="shared" si="6"/>
        <v>0.45625</v>
      </c>
      <c r="M71" s="61">
        <f t="shared" si="7"/>
        <v>0.49541666666666667</v>
      </c>
    </row>
    <row r="72" spans="1:13" ht="12.75">
      <c r="A72" s="63">
        <f>'Data entry'!B72</f>
        <v>70</v>
      </c>
      <c r="B72" s="64">
        <f>'Data entry'!A72</f>
        <v>89</v>
      </c>
      <c r="C72" s="33" t="str">
        <f>'Data entry'!C72</f>
        <v>Name removed</v>
      </c>
      <c r="D72" s="157">
        <f>'current bses'!C72</f>
        <v>1.70625</v>
      </c>
      <c r="E72" s="157">
        <f>'current bses'!F72</f>
        <v>1.55</v>
      </c>
      <c r="F72" s="157">
        <f>'current bses'!I72</f>
        <v>0.65</v>
      </c>
      <c r="G72" s="157"/>
      <c r="H72" s="58">
        <f>'Data entry'!U72</f>
        <v>0</v>
      </c>
      <c r="I72" s="132">
        <f>'Data entry'!W72</f>
        <v>0</v>
      </c>
      <c r="J72" s="78">
        <f t="shared" si="4"/>
        <v>3.90625</v>
      </c>
      <c r="K72" s="61">
        <f t="shared" si="5"/>
        <v>0.2604166666666667</v>
      </c>
      <c r="L72" s="46">
        <f t="shared" si="6"/>
        <v>0.34125</v>
      </c>
      <c r="M72" s="61">
        <f t="shared" si="7"/>
        <v>0.2604166666666667</v>
      </c>
    </row>
    <row r="73" spans="1:13" ht="12.75">
      <c r="A73" s="63">
        <f>'Data entry'!B73</f>
        <v>71</v>
      </c>
      <c r="B73" s="64">
        <f>'Data entry'!A73</f>
        <v>90</v>
      </c>
      <c r="C73" s="33" t="str">
        <f>'Data entry'!C73</f>
        <v>Name removed</v>
      </c>
      <c r="D73" s="157">
        <f>'current bses'!C73</f>
        <v>0</v>
      </c>
      <c r="E73" s="157">
        <f>'current bses'!F73</f>
        <v>0</v>
      </c>
      <c r="F73" s="157">
        <f>'current bses'!I73</f>
        <v>0</v>
      </c>
      <c r="G73" s="157">
        <f>'grazing scores'!G101</f>
        <v>0.46153846153846156</v>
      </c>
      <c r="H73" s="58" t="str">
        <f>'Data entry'!U73</f>
        <v>Photo, invoice</v>
      </c>
      <c r="I73" s="132">
        <f>'Data entry'!W73</f>
        <v>2.5</v>
      </c>
      <c r="J73" s="78">
        <f t="shared" si="4"/>
        <v>2.5</v>
      </c>
      <c r="K73" s="61">
        <f>G73/2+I73/10</f>
        <v>0.4807692307692308</v>
      </c>
      <c r="L73" s="46">
        <f t="shared" si="6"/>
        <v>0</v>
      </c>
      <c r="M73" s="61">
        <f t="shared" si="7"/>
        <v>0.4807692307692308</v>
      </c>
    </row>
    <row r="74" spans="1:13" ht="12.75">
      <c r="A74" s="63">
        <f>'Data entry'!B74</f>
        <v>72</v>
      </c>
      <c r="B74" s="64">
        <f>'Data entry'!A74</f>
        <v>91</v>
      </c>
      <c r="C74" s="33" t="str">
        <f>'Data entry'!C74</f>
        <v>Name removed</v>
      </c>
      <c r="D74" s="157">
        <f>'current bses'!C74</f>
        <v>0</v>
      </c>
      <c r="E74" s="157">
        <f>'current bses'!F74</f>
        <v>0</v>
      </c>
      <c r="F74" s="157">
        <f>'current bses'!I74</f>
        <v>0</v>
      </c>
      <c r="G74" s="157">
        <f>'grazing scores'!H101</f>
        <v>0.5384615384615384</v>
      </c>
      <c r="H74" s="58">
        <f>'Data entry'!U74</f>
        <v>0</v>
      </c>
      <c r="I74" s="132">
        <f>'Data entry'!W74</f>
        <v>0</v>
      </c>
      <c r="J74" s="78">
        <f t="shared" si="4"/>
        <v>0</v>
      </c>
      <c r="K74" s="61">
        <f>G74/2+I74/10</f>
        <v>0.2692307692307692</v>
      </c>
      <c r="L74" s="46">
        <f t="shared" si="6"/>
        <v>0</v>
      </c>
      <c r="M74" s="61">
        <f t="shared" si="7"/>
        <v>0.2692307692307692</v>
      </c>
    </row>
    <row r="75" spans="1:13" ht="12.75">
      <c r="A75" s="63">
        <f>'Data entry'!B75</f>
        <v>73</v>
      </c>
      <c r="B75" s="64">
        <f>'Data entry'!A75</f>
        <v>92</v>
      </c>
      <c r="C75" s="33" t="str">
        <f>'Data entry'!C75</f>
        <v>Name removed</v>
      </c>
      <c r="D75" s="157">
        <f>'current bses'!C75</f>
        <v>0</v>
      </c>
      <c r="E75" s="157">
        <f>'current bses'!F75</f>
        <v>0</v>
      </c>
      <c r="F75" s="157">
        <f>'current bses'!I75</f>
        <v>0</v>
      </c>
      <c r="G75" s="157">
        <f>'grazing scores'!I101</f>
        <v>0.23076923076923078</v>
      </c>
      <c r="H75" s="58" t="str">
        <f>'Data entry'!U75</f>
        <v>PLR, Photo, Invoice, Diary</v>
      </c>
      <c r="I75" s="132">
        <f>'Data entry'!W75</f>
        <v>0</v>
      </c>
      <c r="J75" s="78">
        <f t="shared" si="4"/>
        <v>0</v>
      </c>
      <c r="K75" s="61">
        <f>G75/2+I75/10</f>
        <v>0.11538461538461539</v>
      </c>
      <c r="L75" s="46">
        <f t="shared" si="6"/>
        <v>0</v>
      </c>
      <c r="M75" s="61">
        <f t="shared" si="7"/>
        <v>0.11538461538461539</v>
      </c>
    </row>
    <row r="76" spans="1:13" ht="12.75">
      <c r="A76" s="63">
        <f>'Data entry'!B76</f>
        <v>74</v>
      </c>
      <c r="B76" s="64">
        <f>'Data entry'!A76</f>
        <v>93</v>
      </c>
      <c r="C76" s="33" t="str">
        <f>'Data entry'!C76</f>
        <v>Name removed</v>
      </c>
      <c r="D76" s="157">
        <f>'current bses'!C76</f>
        <v>0</v>
      </c>
      <c r="E76" s="157">
        <f>'current bses'!F76</f>
        <v>0</v>
      </c>
      <c r="F76" s="157">
        <f>'current bses'!I76</f>
        <v>0</v>
      </c>
      <c r="G76" s="157">
        <f>'grazing scores'!J101</f>
        <v>0.23076923076923078</v>
      </c>
      <c r="H76" s="58">
        <f>'Data entry'!U76</f>
        <v>0</v>
      </c>
      <c r="I76" s="132">
        <f>'Data entry'!W76</f>
        <v>3.75</v>
      </c>
      <c r="J76" s="78">
        <f t="shared" si="4"/>
        <v>3.75</v>
      </c>
      <c r="K76" s="61">
        <f>G76/2+I76/10</f>
        <v>0.4903846153846154</v>
      </c>
      <c r="L76" s="46">
        <f t="shared" si="6"/>
        <v>0</v>
      </c>
      <c r="M76" s="61">
        <f t="shared" si="7"/>
        <v>0.4903846153846154</v>
      </c>
    </row>
    <row r="77" spans="1:13" ht="12.75">
      <c r="A77" s="63">
        <f>'Data entry'!B77</f>
        <v>75</v>
      </c>
      <c r="B77" s="64" t="str">
        <f>'Data entry'!A77</f>
        <v>94a</v>
      </c>
      <c r="C77" s="33" t="str">
        <f>'Data entry'!C77</f>
        <v>Name removed</v>
      </c>
      <c r="D77" s="157">
        <f>'current bses'!C77</f>
        <v>1.575</v>
      </c>
      <c r="E77" s="157">
        <f>'current bses'!F77</f>
        <v>1.5625</v>
      </c>
      <c r="F77" s="157">
        <f>'current bses'!I77</f>
        <v>0.15</v>
      </c>
      <c r="G77" s="157"/>
      <c r="H77" s="58" t="str">
        <f>'Data entry'!U77</f>
        <v>FLR, photo, farm budget, monitoring sites water test</v>
      </c>
      <c r="I77" s="132">
        <f>'Data entry'!W77</f>
        <v>5</v>
      </c>
      <c r="J77" s="78">
        <f t="shared" si="4"/>
        <v>8.2875</v>
      </c>
      <c r="K77" s="61">
        <f t="shared" si="5"/>
        <v>0.5525</v>
      </c>
      <c r="L77" s="46">
        <f t="shared" si="6"/>
        <v>0.315</v>
      </c>
      <c r="M77" s="61">
        <f t="shared" si="7"/>
        <v>0.5525</v>
      </c>
    </row>
    <row r="78" spans="1:13" ht="12.75">
      <c r="A78" s="63">
        <f>'Data entry'!B78</f>
        <v>76</v>
      </c>
      <c r="B78" s="64" t="str">
        <f>'Data entry'!A78</f>
        <v>94b</v>
      </c>
      <c r="C78" s="33" t="str">
        <f>'Data entry'!C78</f>
        <v>Name removed</v>
      </c>
      <c r="D78" s="157">
        <f>'current bses'!C78</f>
        <v>1.125</v>
      </c>
      <c r="E78" s="157">
        <f>'current bses'!F78</f>
        <v>0</v>
      </c>
      <c r="F78" s="157">
        <f>'current bses'!I78</f>
        <v>0</v>
      </c>
      <c r="G78" s="157"/>
      <c r="H78" s="58" t="str">
        <f>'Data entry'!U78</f>
        <v>FLR, photo, farm budget, monitoring sites water test</v>
      </c>
      <c r="I78" s="132">
        <f>'Data entry'!W78</f>
        <v>5</v>
      </c>
      <c r="J78" s="78">
        <f t="shared" si="4"/>
        <v>6.125</v>
      </c>
      <c r="K78" s="61">
        <f t="shared" si="5"/>
        <v>0.4083333333333333</v>
      </c>
      <c r="L78" s="46">
        <f t="shared" si="6"/>
        <v>0.225</v>
      </c>
      <c r="M78" s="61">
        <f t="shared" si="7"/>
        <v>0.4083333333333333</v>
      </c>
    </row>
    <row r="79" spans="1:13" ht="12.75">
      <c r="A79" s="63">
        <f>'Data entry'!B79</f>
        <v>77</v>
      </c>
      <c r="B79" s="64" t="str">
        <f>'Data entry'!A79</f>
        <v>94c</v>
      </c>
      <c r="C79" s="33" t="str">
        <f>'Data entry'!C79</f>
        <v>Name removed</v>
      </c>
      <c r="D79" s="157">
        <f>'current bses'!C79</f>
        <v>2.175</v>
      </c>
      <c r="E79" s="157">
        <f>'current bses'!F79</f>
        <v>0</v>
      </c>
      <c r="F79" s="157">
        <f>'current bses'!I79</f>
        <v>0</v>
      </c>
      <c r="G79" s="157"/>
      <c r="H79" s="58" t="str">
        <f>'Data entry'!U79</f>
        <v>FLR, photo, farm budget, monitoring sites water test</v>
      </c>
      <c r="I79" s="132">
        <f>'Data entry'!W79</f>
        <v>5</v>
      </c>
      <c r="J79" s="78">
        <f t="shared" si="4"/>
        <v>7.175</v>
      </c>
      <c r="K79" s="61">
        <f t="shared" si="5"/>
        <v>0.47833333333333333</v>
      </c>
      <c r="L79" s="46">
        <f t="shared" si="6"/>
        <v>0.43499999999999994</v>
      </c>
      <c r="M79" s="61">
        <f t="shared" si="7"/>
        <v>0.47833333333333333</v>
      </c>
    </row>
    <row r="80" spans="1:13" ht="12.75">
      <c r="A80" s="63">
        <f>'Data entry'!B80</f>
        <v>78</v>
      </c>
      <c r="B80" s="64" t="str">
        <f>'Data entry'!A80</f>
        <v>97a</v>
      </c>
      <c r="C80" s="33" t="str">
        <f>'Data entry'!C80</f>
        <v>Name removed</v>
      </c>
      <c r="D80" s="157">
        <f>'current bses'!C80</f>
        <v>3.05</v>
      </c>
      <c r="E80" s="157">
        <f>'current bses'!F80</f>
        <v>1.925</v>
      </c>
      <c r="F80" s="157">
        <f>'current bses'!I80</f>
        <v>0.65</v>
      </c>
      <c r="G80" s="157"/>
      <c r="H80" s="58" t="str">
        <f>'Data entry'!U80</f>
        <v>FLR, photo,invoice, spraylog, farm budget</v>
      </c>
      <c r="I80" s="132">
        <f>'Data entry'!W80</f>
        <v>3.75</v>
      </c>
      <c r="J80" s="78">
        <f t="shared" si="4"/>
        <v>9.375</v>
      </c>
      <c r="K80" s="61">
        <f t="shared" si="5"/>
        <v>0.625</v>
      </c>
      <c r="L80" s="46">
        <f t="shared" si="6"/>
        <v>0.61</v>
      </c>
      <c r="M80" s="61">
        <f t="shared" si="7"/>
        <v>0.625</v>
      </c>
    </row>
    <row r="81" spans="1:13" ht="12.75">
      <c r="A81" s="63">
        <f>'Data entry'!B81</f>
        <v>79</v>
      </c>
      <c r="B81" s="64" t="str">
        <f>'Data entry'!A81</f>
        <v>97b</v>
      </c>
      <c r="C81" s="33" t="str">
        <f>'Data entry'!C81</f>
        <v>Name removed</v>
      </c>
      <c r="D81" s="157">
        <f>'current bses'!C81</f>
        <v>1.95</v>
      </c>
      <c r="E81" s="157">
        <f>'current bses'!F81</f>
        <v>1.925</v>
      </c>
      <c r="F81" s="157">
        <f>'current bses'!I81</f>
        <v>0.65</v>
      </c>
      <c r="G81" s="157"/>
      <c r="H81" s="58">
        <f>'Data entry'!U81</f>
        <v>0</v>
      </c>
      <c r="I81" s="132">
        <f>'Data entry'!W81</f>
        <v>0</v>
      </c>
      <c r="J81" s="78">
        <f t="shared" si="4"/>
        <v>4.525</v>
      </c>
      <c r="K81" s="61">
        <f t="shared" si="5"/>
        <v>0.3016666666666667</v>
      </c>
      <c r="L81" s="46">
        <f t="shared" si="6"/>
        <v>0.39</v>
      </c>
      <c r="M81" s="61">
        <f t="shared" si="7"/>
        <v>0.3016666666666667</v>
      </c>
    </row>
    <row r="82" spans="1:13" ht="12.75">
      <c r="A82" s="63">
        <f>'Data entry'!B82</f>
        <v>80</v>
      </c>
      <c r="B82" s="64">
        <f>'Data entry'!A82</f>
        <v>101</v>
      </c>
      <c r="C82" s="33" t="str">
        <f>'Data entry'!C82</f>
        <v>Name removed</v>
      </c>
      <c r="D82" s="157">
        <f>'current bses'!C82</f>
        <v>2.98125</v>
      </c>
      <c r="E82" s="157">
        <f>'current bses'!F82</f>
        <v>1.075</v>
      </c>
      <c r="F82" s="157">
        <f>'current bses'!I82</f>
        <v>0.15</v>
      </c>
      <c r="G82" s="157"/>
      <c r="H82" s="58" t="str">
        <f>'Data entry'!U82</f>
        <v>FLR, photo, monitoring sites </v>
      </c>
      <c r="I82" s="132">
        <f>'Data entry'!W82</f>
        <v>3.75</v>
      </c>
      <c r="J82" s="78">
        <f t="shared" si="4"/>
        <v>7.956250000000001</v>
      </c>
      <c r="K82" s="61">
        <f t="shared" si="5"/>
        <v>0.5304166666666668</v>
      </c>
      <c r="L82" s="46">
        <f t="shared" si="6"/>
        <v>0.5962500000000001</v>
      </c>
      <c r="M82" s="61">
        <f t="shared" si="7"/>
        <v>0.5304166666666668</v>
      </c>
    </row>
    <row r="83" spans="1:13" ht="12.75">
      <c r="A83" s="63">
        <f>'Data entry'!B83</f>
        <v>81</v>
      </c>
      <c r="B83" s="64">
        <f>'Data entry'!A83</f>
        <v>102</v>
      </c>
      <c r="C83" s="33" t="str">
        <f>'Data entry'!C83</f>
        <v>Name removed</v>
      </c>
      <c r="D83" s="157">
        <f>'current bses'!C83</f>
        <v>3.18125</v>
      </c>
      <c r="E83" s="157">
        <f>'current bses'!F83</f>
        <v>1.7375</v>
      </c>
      <c r="F83" s="157">
        <f>'current bses'!I83</f>
        <v>1.75</v>
      </c>
      <c r="G83" s="157"/>
      <c r="H83" s="58" t="str">
        <f>'Data entry'!U83</f>
        <v>photo, invoice</v>
      </c>
      <c r="I83" s="132">
        <f>'Data entry'!W83</f>
        <v>2.5</v>
      </c>
      <c r="J83" s="78">
        <f t="shared" si="4"/>
        <v>9.16875</v>
      </c>
      <c r="K83" s="61">
        <f t="shared" si="5"/>
        <v>0.61125</v>
      </c>
      <c r="L83" s="46">
        <f t="shared" si="6"/>
        <v>0.63625</v>
      </c>
      <c r="M83" s="61">
        <f t="shared" si="7"/>
        <v>0.61125</v>
      </c>
    </row>
    <row r="84" spans="1:13" ht="12.75">
      <c r="A84" s="63">
        <f>'Data entry'!B84</f>
        <v>82</v>
      </c>
      <c r="B84" s="64">
        <f>'Data entry'!A84</f>
        <v>104</v>
      </c>
      <c r="C84" s="33" t="str">
        <f>'Data entry'!C84</f>
        <v>Name removed</v>
      </c>
      <c r="D84" s="157">
        <f>'current bses'!C84</f>
        <v>4.43125</v>
      </c>
      <c r="E84" s="157">
        <f>'current bses'!F84</f>
        <v>1.25</v>
      </c>
      <c r="F84" s="157">
        <f>'current bses'!I84</f>
        <v>0.7</v>
      </c>
      <c r="G84" s="157"/>
      <c r="H84" s="58" t="str">
        <f>'Data entry'!U84</f>
        <v>photo</v>
      </c>
      <c r="I84" s="132">
        <f>'Data entry'!W84</f>
        <v>1.25</v>
      </c>
      <c r="J84" s="78">
        <f t="shared" si="4"/>
        <v>7.6312500000000005</v>
      </c>
      <c r="K84" s="61">
        <f t="shared" si="5"/>
        <v>0.50875</v>
      </c>
      <c r="L84" s="46">
        <f t="shared" si="6"/>
        <v>0.8862500000000001</v>
      </c>
      <c r="M84" s="61">
        <f t="shared" si="7"/>
        <v>0.50875</v>
      </c>
    </row>
    <row r="85" spans="1:13" ht="12.75">
      <c r="A85" s="63">
        <f>'Data entry'!B85</f>
        <v>83</v>
      </c>
      <c r="B85" s="64" t="str">
        <f>'Data entry'!A85</f>
        <v>105a</v>
      </c>
      <c r="C85" s="33" t="str">
        <f>'Data entry'!C85</f>
        <v>Name removed</v>
      </c>
      <c r="D85" s="157">
        <f>'current bses'!C85</f>
        <v>1.85625</v>
      </c>
      <c r="E85" s="157">
        <f>'current bses'!F85</f>
        <v>1.6125</v>
      </c>
      <c r="F85" s="157">
        <f>'current bses'!I85</f>
        <v>0.2</v>
      </c>
      <c r="G85" s="157"/>
      <c r="H85" s="58" t="str">
        <f>'Data entry'!U85</f>
        <v>photo</v>
      </c>
      <c r="I85" s="132">
        <f>'Data entry'!W85</f>
        <v>1.25</v>
      </c>
      <c r="J85" s="78">
        <f t="shared" si="4"/>
        <v>4.91875</v>
      </c>
      <c r="K85" s="61">
        <f t="shared" si="5"/>
        <v>0.3279166666666667</v>
      </c>
      <c r="L85" s="46">
        <f t="shared" si="6"/>
        <v>0.37124999999999997</v>
      </c>
      <c r="M85" s="61">
        <f t="shared" si="7"/>
        <v>0.3279166666666667</v>
      </c>
    </row>
    <row r="86" spans="1:13" ht="12.75">
      <c r="A86" s="63">
        <f>'Data entry'!B86</f>
        <v>84</v>
      </c>
      <c r="B86" s="64" t="str">
        <f>'Data entry'!A86</f>
        <v>105b</v>
      </c>
      <c r="C86" s="33" t="str">
        <f>'Data entry'!C86</f>
        <v>Name removed</v>
      </c>
      <c r="D86" s="157">
        <f>'current bses'!C86</f>
        <v>1.85625</v>
      </c>
      <c r="E86" s="157">
        <f>'current bses'!F86</f>
        <v>1.6125</v>
      </c>
      <c r="F86" s="157">
        <f>'current bses'!I86</f>
        <v>0.2</v>
      </c>
      <c r="G86" s="157"/>
      <c r="H86" s="58" t="str">
        <f>'Data entry'!U86</f>
        <v>photo</v>
      </c>
      <c r="I86" s="132">
        <f>'Data entry'!W86</f>
        <v>1.25</v>
      </c>
      <c r="J86" s="78">
        <f t="shared" si="4"/>
        <v>4.91875</v>
      </c>
      <c r="K86" s="61">
        <f t="shared" si="5"/>
        <v>0.3279166666666667</v>
      </c>
      <c r="L86" s="46">
        <f t="shared" si="6"/>
        <v>0.37124999999999997</v>
      </c>
      <c r="M86" s="61">
        <f t="shared" si="7"/>
        <v>0.3279166666666667</v>
      </c>
    </row>
    <row r="87" spans="1:13" ht="12.75">
      <c r="A87" s="63">
        <f>'Data entry'!B87</f>
        <v>85</v>
      </c>
      <c r="B87" s="64" t="str">
        <f>'Data entry'!A87</f>
        <v>105c</v>
      </c>
      <c r="C87" s="33" t="str">
        <f>'Data entry'!C87</f>
        <v>Name removed</v>
      </c>
      <c r="D87" s="157">
        <f>'current bses'!C87</f>
        <v>1.85625</v>
      </c>
      <c r="E87" s="157">
        <f>'current bses'!F87</f>
        <v>1.6125</v>
      </c>
      <c r="F87" s="157">
        <f>'current bses'!I87</f>
        <v>0.2</v>
      </c>
      <c r="G87" s="157"/>
      <c r="H87" s="58" t="str">
        <f>'Data entry'!U87</f>
        <v>photo</v>
      </c>
      <c r="I87" s="132">
        <f>'Data entry'!W87</f>
        <v>1.25</v>
      </c>
      <c r="J87" s="78">
        <f t="shared" si="4"/>
        <v>4.91875</v>
      </c>
      <c r="K87" s="61">
        <f t="shared" si="5"/>
        <v>0.3279166666666667</v>
      </c>
      <c r="L87" s="46">
        <f t="shared" si="6"/>
        <v>0.37124999999999997</v>
      </c>
      <c r="M87" s="61">
        <f t="shared" si="7"/>
        <v>0.3279166666666667</v>
      </c>
    </row>
    <row r="88" spans="1:13" ht="12.75">
      <c r="A88" s="63">
        <f>'Data entry'!B88</f>
        <v>86</v>
      </c>
      <c r="B88" s="64" t="str">
        <f>'Data entry'!A88</f>
        <v>1006(65)</v>
      </c>
      <c r="C88" s="33" t="str">
        <f>'Data entry'!C88</f>
        <v>Name removed</v>
      </c>
      <c r="D88" s="157">
        <f>'current bses'!C88</f>
        <v>2.70625</v>
      </c>
      <c r="E88" s="157">
        <f>'current bses'!F88</f>
        <v>2</v>
      </c>
      <c r="F88" s="157">
        <f>'current bses'!I88</f>
        <v>1.4</v>
      </c>
      <c r="G88" s="157"/>
      <c r="H88" s="58" t="e">
        <f>'Data entry'!#REF!</f>
        <v>#REF!</v>
      </c>
      <c r="I88" s="132">
        <f>'Data entry'!W88</f>
        <v>5</v>
      </c>
      <c r="J88" s="78">
        <f t="shared" si="4"/>
        <v>11.10625</v>
      </c>
      <c r="K88" s="61">
        <f t="shared" si="5"/>
        <v>0.7404166666666666</v>
      </c>
      <c r="L88" s="46">
        <f t="shared" si="6"/>
        <v>0.54125</v>
      </c>
      <c r="M88" s="61">
        <f t="shared" si="7"/>
        <v>0.7404166666666666</v>
      </c>
    </row>
    <row r="89" spans="1:13" ht="12.75">
      <c r="A89" s="72">
        <v>87</v>
      </c>
      <c r="B89" s="62">
        <v>84</v>
      </c>
      <c r="C89" s="658" t="s">
        <v>1116</v>
      </c>
      <c r="D89" s="157">
        <f>'current bses'!C89</f>
        <v>0.9813</v>
      </c>
      <c r="E89" s="157">
        <f>'current bses'!F89</f>
        <v>1.2</v>
      </c>
      <c r="F89" s="157">
        <f>'current bses'!I89</f>
        <v>0.15</v>
      </c>
      <c r="G89" s="157"/>
      <c r="H89" s="658" t="s">
        <v>671</v>
      </c>
      <c r="I89" s="132">
        <f>'Data entry'!W89</f>
        <v>1.25</v>
      </c>
      <c r="J89" s="78">
        <f t="shared" si="4"/>
        <v>3.5812999999999997</v>
      </c>
      <c r="K89" s="61">
        <f>J89/15</f>
        <v>0.23875333333333332</v>
      </c>
      <c r="L89" s="46">
        <f>D89/5</f>
        <v>0.19626</v>
      </c>
      <c r="M89" s="61">
        <f>K89</f>
        <v>0.23875333333333332</v>
      </c>
    </row>
    <row r="90" spans="1:13" ht="12.75">
      <c r="A90">
        <v>88</v>
      </c>
      <c r="B90">
        <v>60</v>
      </c>
      <c r="C90" t="s">
        <v>1116</v>
      </c>
      <c r="G90">
        <f>'grazing scores'!K101</f>
        <v>0.6923076923076923</v>
      </c>
      <c r="I90" s="61">
        <v>0</v>
      </c>
      <c r="K90" s="61">
        <f>G90/2+I90/10</f>
        <v>0.34615384615384615</v>
      </c>
      <c r="M90" s="61">
        <f>K90</f>
        <v>0.34615384615384615</v>
      </c>
    </row>
  </sheetData>
  <sheetProtection/>
  <mergeCells count="1">
    <mergeCell ref="J1:J2"/>
  </mergeCells>
  <printOptions/>
  <pageMargins left="0.75" right="0.75" top="1" bottom="1" header="0.5" footer="0.5"/>
  <pageSetup horizontalDpi="300" verticalDpi="300" orientation="portrait" paperSize="9" r:id="rId1"/>
</worksheet>
</file>

<file path=xl/worksheets/sheet12.xml><?xml version="1.0" encoding="utf-8"?>
<worksheet xmlns="http://schemas.openxmlformats.org/spreadsheetml/2006/main" xmlns:r="http://schemas.openxmlformats.org/officeDocument/2006/relationships">
  <dimension ref="A1:N172"/>
  <sheetViews>
    <sheetView zoomScalePageLayoutView="0" workbookViewId="0" topLeftCell="A1">
      <selection activeCell="C90" sqref="C90"/>
    </sheetView>
  </sheetViews>
  <sheetFormatPr defaultColWidth="9.140625" defaultRowHeight="12.75"/>
  <cols>
    <col min="2" max="2" width="11.57421875" style="0" customWidth="1"/>
    <col min="3" max="3" width="15.421875" style="0" customWidth="1"/>
    <col min="4" max="4" width="11.8515625" style="0" customWidth="1"/>
    <col min="5" max="5" width="9.140625" style="512" customWidth="1"/>
    <col min="7" max="7" width="8.28125" style="0" customWidth="1"/>
    <col min="8" max="8" width="4.00390625" style="0" customWidth="1"/>
    <col min="9" max="9" width="5.28125" style="0" customWidth="1"/>
    <col min="11" max="11" width="22.7109375" style="0" customWidth="1"/>
    <col min="12" max="12" width="21.57421875" style="0" customWidth="1"/>
    <col min="13" max="13" width="4.00390625" style="0" customWidth="1"/>
  </cols>
  <sheetData>
    <row r="1" spans="4:12" ht="26.25">
      <c r="D1" s="7" t="s">
        <v>373</v>
      </c>
      <c r="E1" s="13" t="s">
        <v>374</v>
      </c>
      <c r="K1" s="522" t="s">
        <v>387</v>
      </c>
      <c r="L1" t="s">
        <v>388</v>
      </c>
    </row>
    <row r="2" spans="1:12" ht="15">
      <c r="A2" s="53" t="s">
        <v>810</v>
      </c>
      <c r="B2" s="159" t="s">
        <v>74</v>
      </c>
      <c r="C2" s="53" t="s">
        <v>811</v>
      </c>
      <c r="E2" s="51"/>
      <c r="G2" s="515" t="s">
        <v>376</v>
      </c>
      <c r="H2" s="516"/>
      <c r="I2" s="517"/>
      <c r="K2" s="522" t="s">
        <v>389</v>
      </c>
      <c r="L2" s="7">
        <v>5</v>
      </c>
    </row>
    <row r="3" spans="1:12" ht="12.75">
      <c r="A3" s="164">
        <v>1</v>
      </c>
      <c r="B3" s="163">
        <v>1</v>
      </c>
      <c r="C3" s="163" t="s">
        <v>1116</v>
      </c>
      <c r="D3" s="485">
        <v>3</v>
      </c>
      <c r="E3" s="513">
        <v>4</v>
      </c>
      <c r="G3" s="518" t="s">
        <v>377</v>
      </c>
      <c r="H3" s="316" t="s">
        <v>381</v>
      </c>
      <c r="I3" s="519">
        <v>1</v>
      </c>
      <c r="K3" t="s">
        <v>390</v>
      </c>
      <c r="L3">
        <v>5</v>
      </c>
    </row>
    <row r="4" spans="1:14" ht="12.75">
      <c r="A4" s="164">
        <v>2</v>
      </c>
      <c r="B4" s="163">
        <v>2</v>
      </c>
      <c r="C4" s="163" t="s">
        <v>1116</v>
      </c>
      <c r="D4" s="485">
        <v>2</v>
      </c>
      <c r="E4" s="513">
        <v>3</v>
      </c>
      <c r="G4" s="518" t="s">
        <v>377</v>
      </c>
      <c r="H4" s="316" t="s">
        <v>380</v>
      </c>
      <c r="I4" s="519">
        <v>2</v>
      </c>
      <c r="L4" t="s">
        <v>391</v>
      </c>
      <c r="M4">
        <v>5</v>
      </c>
      <c r="N4" t="s">
        <v>392</v>
      </c>
    </row>
    <row r="5" spans="1:12" ht="12.75">
      <c r="A5" s="164">
        <v>3</v>
      </c>
      <c r="B5" s="163">
        <v>3</v>
      </c>
      <c r="C5" s="163" t="s">
        <v>1116</v>
      </c>
      <c r="D5" s="485">
        <v>2</v>
      </c>
      <c r="E5" s="513">
        <v>3</v>
      </c>
      <c r="G5" s="518" t="s">
        <v>377</v>
      </c>
      <c r="H5" s="316" t="s">
        <v>379</v>
      </c>
      <c r="I5" s="519">
        <v>3</v>
      </c>
      <c r="K5" t="s">
        <v>393</v>
      </c>
      <c r="L5">
        <v>4</v>
      </c>
    </row>
    <row r="6" spans="1:12" ht="12.75">
      <c r="A6" s="164">
        <v>4</v>
      </c>
      <c r="B6" s="163">
        <v>4</v>
      </c>
      <c r="C6" s="163" t="s">
        <v>1116</v>
      </c>
      <c r="D6" s="485">
        <v>3</v>
      </c>
      <c r="E6" s="513">
        <v>3</v>
      </c>
      <c r="G6" s="518" t="s">
        <v>377</v>
      </c>
      <c r="H6" s="316" t="s">
        <v>378</v>
      </c>
      <c r="I6" s="519">
        <v>4</v>
      </c>
      <c r="L6" s="15"/>
    </row>
    <row r="7" spans="1:12" ht="15">
      <c r="A7" s="164">
        <v>5</v>
      </c>
      <c r="B7" s="163">
        <v>5</v>
      </c>
      <c r="C7" s="163" t="s">
        <v>1116</v>
      </c>
      <c r="D7" s="485">
        <v>3</v>
      </c>
      <c r="E7" s="513">
        <v>4</v>
      </c>
      <c r="G7" s="518" t="s">
        <v>377</v>
      </c>
      <c r="H7" s="316" t="s">
        <v>375</v>
      </c>
      <c r="I7" s="519">
        <v>5</v>
      </c>
      <c r="K7" s="522" t="s">
        <v>394</v>
      </c>
      <c r="L7" s="523">
        <v>3</v>
      </c>
    </row>
    <row r="8" spans="1:12" ht="12.75">
      <c r="A8" s="164">
        <v>6</v>
      </c>
      <c r="B8" s="163">
        <v>6</v>
      </c>
      <c r="C8" s="163" t="s">
        <v>1116</v>
      </c>
      <c r="D8" s="486">
        <v>2</v>
      </c>
      <c r="E8" s="514">
        <v>3</v>
      </c>
      <c r="G8" s="518" t="s">
        <v>382</v>
      </c>
      <c r="H8" s="316" t="s">
        <v>381</v>
      </c>
      <c r="I8" s="519">
        <v>1</v>
      </c>
      <c r="K8" t="s">
        <v>395</v>
      </c>
      <c r="L8">
        <v>4</v>
      </c>
    </row>
    <row r="9" spans="1:14" ht="12.75">
      <c r="A9" s="164" t="s">
        <v>808</v>
      </c>
      <c r="B9" s="163">
        <v>7</v>
      </c>
      <c r="C9" s="163" t="s">
        <v>1116</v>
      </c>
      <c r="D9" s="485">
        <v>3</v>
      </c>
      <c r="E9" s="513">
        <v>3</v>
      </c>
      <c r="G9" s="518" t="s">
        <v>382</v>
      </c>
      <c r="H9" s="316" t="s">
        <v>380</v>
      </c>
      <c r="I9" s="519">
        <v>2</v>
      </c>
      <c r="L9" s="15" t="s">
        <v>391</v>
      </c>
      <c r="M9">
        <v>5</v>
      </c>
      <c r="N9" t="s">
        <v>396</v>
      </c>
    </row>
    <row r="10" spans="1:12" ht="30.75" customHeight="1">
      <c r="A10" s="202" t="s">
        <v>809</v>
      </c>
      <c r="B10" s="201">
        <v>8</v>
      </c>
      <c r="C10" s="201" t="s">
        <v>1116</v>
      </c>
      <c r="D10" s="485">
        <v>4</v>
      </c>
      <c r="E10" s="513">
        <v>4</v>
      </c>
      <c r="G10" s="518" t="s">
        <v>382</v>
      </c>
      <c r="H10" s="316" t="s">
        <v>379</v>
      </c>
      <c r="I10" s="519">
        <v>3</v>
      </c>
      <c r="K10" t="s">
        <v>397</v>
      </c>
      <c r="L10" s="511">
        <v>3</v>
      </c>
    </row>
    <row r="11" spans="1:13" ht="12.75">
      <c r="A11" s="164">
        <v>12</v>
      </c>
      <c r="B11" s="163">
        <v>9</v>
      </c>
      <c r="C11" s="163" t="s">
        <v>1116</v>
      </c>
      <c r="D11" s="485">
        <v>4</v>
      </c>
      <c r="E11" s="513">
        <v>4</v>
      </c>
      <c r="G11" s="518" t="s">
        <v>382</v>
      </c>
      <c r="H11" s="316" t="s">
        <v>378</v>
      </c>
      <c r="I11" s="519">
        <v>4</v>
      </c>
      <c r="L11" s="15" t="s">
        <v>398</v>
      </c>
      <c r="M11">
        <v>3</v>
      </c>
    </row>
    <row r="12" spans="1:13" ht="12.75">
      <c r="A12" s="164">
        <v>15</v>
      </c>
      <c r="B12" s="163">
        <v>10</v>
      </c>
      <c r="C12" s="163" t="s">
        <v>1116</v>
      </c>
      <c r="D12" s="485">
        <v>2</v>
      </c>
      <c r="E12" s="513">
        <v>2</v>
      </c>
      <c r="G12" s="518" t="s">
        <v>382</v>
      </c>
      <c r="H12" s="316" t="s">
        <v>375</v>
      </c>
      <c r="I12" s="519">
        <v>5</v>
      </c>
      <c r="L12" s="15" t="s">
        <v>399</v>
      </c>
      <c r="M12">
        <v>4</v>
      </c>
    </row>
    <row r="13" spans="1:12" ht="15">
      <c r="A13" s="164">
        <v>16</v>
      </c>
      <c r="B13" s="163">
        <v>11</v>
      </c>
      <c r="C13" s="163" t="s">
        <v>1116</v>
      </c>
      <c r="D13" s="485">
        <v>3</v>
      </c>
      <c r="E13" s="513">
        <v>4</v>
      </c>
      <c r="G13" s="518" t="s">
        <v>949</v>
      </c>
      <c r="H13" s="316" t="s">
        <v>381</v>
      </c>
      <c r="I13" s="519">
        <v>1</v>
      </c>
      <c r="K13" s="522"/>
      <c r="L13" s="15"/>
    </row>
    <row r="14" spans="1:12" ht="15">
      <c r="A14" s="164">
        <v>17</v>
      </c>
      <c r="B14" s="163">
        <v>12</v>
      </c>
      <c r="C14" s="163" t="s">
        <v>1116</v>
      </c>
      <c r="D14" s="485">
        <v>2</v>
      </c>
      <c r="E14" s="513">
        <v>2</v>
      </c>
      <c r="G14" s="518" t="s">
        <v>949</v>
      </c>
      <c r="H14" s="316" t="s">
        <v>380</v>
      </c>
      <c r="I14" s="519">
        <v>2</v>
      </c>
      <c r="K14" s="522" t="s">
        <v>400</v>
      </c>
      <c r="L14" s="7">
        <v>1</v>
      </c>
    </row>
    <row r="15" spans="1:13" ht="12.75">
      <c r="A15" s="164">
        <v>21</v>
      </c>
      <c r="B15" s="163">
        <v>13</v>
      </c>
      <c r="C15" s="163" t="s">
        <v>1116</v>
      </c>
      <c r="D15" s="486">
        <v>2</v>
      </c>
      <c r="E15" s="513">
        <v>2</v>
      </c>
      <c r="G15" s="518" t="s">
        <v>949</v>
      </c>
      <c r="H15" s="316" t="s">
        <v>379</v>
      </c>
      <c r="I15" s="519">
        <v>3</v>
      </c>
      <c r="K15" t="s">
        <v>395</v>
      </c>
      <c r="M15">
        <v>2</v>
      </c>
    </row>
    <row r="16" spans="1:14" ht="12.75">
      <c r="A16" s="185">
        <v>22</v>
      </c>
      <c r="B16" s="184">
        <v>14</v>
      </c>
      <c r="C16" s="184" t="s">
        <v>1116</v>
      </c>
      <c r="D16" s="485">
        <v>1</v>
      </c>
      <c r="E16" s="513">
        <v>4</v>
      </c>
      <c r="G16" s="518" t="s">
        <v>949</v>
      </c>
      <c r="H16" s="316" t="s">
        <v>378</v>
      </c>
      <c r="I16" s="519">
        <v>4</v>
      </c>
      <c r="K16" t="s">
        <v>401</v>
      </c>
      <c r="M16">
        <v>3</v>
      </c>
      <c r="N16" t="s">
        <v>402</v>
      </c>
    </row>
    <row r="17" spans="1:13" ht="12.75">
      <c r="A17" s="185" t="s">
        <v>787</v>
      </c>
      <c r="B17" s="184">
        <v>15</v>
      </c>
      <c r="C17" s="184" t="s">
        <v>1116</v>
      </c>
      <c r="D17" s="485">
        <v>2</v>
      </c>
      <c r="E17" s="513">
        <v>4</v>
      </c>
      <c r="G17" s="518" t="s">
        <v>949</v>
      </c>
      <c r="H17" s="316" t="s">
        <v>375</v>
      </c>
      <c r="I17" s="519">
        <v>5</v>
      </c>
      <c r="L17" s="15" t="s">
        <v>398</v>
      </c>
      <c r="M17">
        <v>3</v>
      </c>
    </row>
    <row r="18" spans="1:13" ht="12.75">
      <c r="A18" s="185" t="s">
        <v>788</v>
      </c>
      <c r="B18" s="184">
        <v>16</v>
      </c>
      <c r="C18" s="184" t="s">
        <v>1116</v>
      </c>
      <c r="D18" s="488">
        <v>2</v>
      </c>
      <c r="E18" s="513">
        <v>4</v>
      </c>
      <c r="G18" s="518" t="s">
        <v>943</v>
      </c>
      <c r="H18" s="316" t="s">
        <v>381</v>
      </c>
      <c r="I18" s="519">
        <v>1</v>
      </c>
      <c r="L18" s="15" t="s">
        <v>399</v>
      </c>
      <c r="M18">
        <v>3</v>
      </c>
    </row>
    <row r="19" spans="1:13" ht="12.75">
      <c r="A19" s="185">
        <v>28</v>
      </c>
      <c r="B19" s="184">
        <v>17</v>
      </c>
      <c r="C19" s="184" t="s">
        <v>1116</v>
      </c>
      <c r="D19" s="485">
        <v>3</v>
      </c>
      <c r="E19" s="513">
        <v>4</v>
      </c>
      <c r="G19" s="518" t="s">
        <v>943</v>
      </c>
      <c r="H19" s="316" t="s">
        <v>380</v>
      </c>
      <c r="I19" s="519">
        <v>2</v>
      </c>
      <c r="K19" t="s">
        <v>397</v>
      </c>
      <c r="M19">
        <v>1</v>
      </c>
    </row>
    <row r="20" spans="1:13" ht="12.75">
      <c r="A20" s="185">
        <v>29</v>
      </c>
      <c r="B20" s="184">
        <v>18</v>
      </c>
      <c r="C20" s="184" t="s">
        <v>1116</v>
      </c>
      <c r="D20" s="485">
        <v>5</v>
      </c>
      <c r="E20" s="513">
        <v>5</v>
      </c>
      <c r="G20" s="518" t="s">
        <v>943</v>
      </c>
      <c r="H20" s="316" t="s">
        <v>379</v>
      </c>
      <c r="I20" s="519">
        <v>3</v>
      </c>
      <c r="L20" s="15" t="s">
        <v>398</v>
      </c>
      <c r="M20">
        <v>2</v>
      </c>
    </row>
    <row r="21" spans="1:13" ht="12.75">
      <c r="A21" s="164">
        <v>31</v>
      </c>
      <c r="B21" s="163">
        <v>19</v>
      </c>
      <c r="C21" s="163" t="s">
        <v>1116</v>
      </c>
      <c r="D21" s="485">
        <v>2</v>
      </c>
      <c r="E21" s="513">
        <v>3</v>
      </c>
      <c r="G21" s="518" t="s">
        <v>943</v>
      </c>
      <c r="H21" s="316" t="s">
        <v>378</v>
      </c>
      <c r="I21" s="519">
        <v>4</v>
      </c>
      <c r="L21" s="15" t="s">
        <v>399</v>
      </c>
      <c r="M21">
        <v>3</v>
      </c>
    </row>
    <row r="22" spans="1:9" ht="12.75">
      <c r="A22" s="164" t="s">
        <v>789</v>
      </c>
      <c r="B22" s="163">
        <v>20</v>
      </c>
      <c r="C22" s="163" t="s">
        <v>1116</v>
      </c>
      <c r="D22" s="485">
        <v>4</v>
      </c>
      <c r="E22" s="513">
        <v>4</v>
      </c>
      <c r="G22" s="520" t="s">
        <v>943</v>
      </c>
      <c r="H22" s="314" t="s">
        <v>375</v>
      </c>
      <c r="I22" s="521">
        <v>5</v>
      </c>
    </row>
    <row r="23" spans="1:5" ht="12.75">
      <c r="A23" s="164" t="s">
        <v>790</v>
      </c>
      <c r="B23" s="163">
        <v>21</v>
      </c>
      <c r="C23" s="163" t="s">
        <v>1116</v>
      </c>
      <c r="D23" s="485">
        <v>3</v>
      </c>
      <c r="E23" s="513">
        <v>4</v>
      </c>
    </row>
    <row r="24" spans="1:5" ht="12.75">
      <c r="A24" s="164" t="s">
        <v>791</v>
      </c>
      <c r="B24" s="163">
        <v>22</v>
      </c>
      <c r="C24" s="163" t="s">
        <v>1116</v>
      </c>
      <c r="D24" s="485">
        <v>3</v>
      </c>
      <c r="E24" s="513">
        <v>3</v>
      </c>
    </row>
    <row r="25" spans="1:5" ht="12.75">
      <c r="A25" s="185" t="s">
        <v>792</v>
      </c>
      <c r="B25" s="184">
        <v>23</v>
      </c>
      <c r="C25" s="184" t="s">
        <v>1116</v>
      </c>
      <c r="D25" s="485">
        <v>1</v>
      </c>
      <c r="E25" s="513">
        <v>1</v>
      </c>
    </row>
    <row r="26" spans="1:5" ht="12.75">
      <c r="A26" s="289">
        <v>36</v>
      </c>
      <c r="B26" s="290">
        <v>24</v>
      </c>
      <c r="C26" s="290" t="s">
        <v>1116</v>
      </c>
      <c r="D26" s="485">
        <v>3</v>
      </c>
      <c r="E26" s="512">
        <v>3</v>
      </c>
    </row>
    <row r="27" spans="1:5" ht="12.75">
      <c r="A27" s="221">
        <v>37</v>
      </c>
      <c r="B27" s="220">
        <v>25</v>
      </c>
      <c r="C27" s="220" t="s">
        <v>1116</v>
      </c>
      <c r="D27" s="485">
        <v>3</v>
      </c>
      <c r="E27" s="512">
        <v>3</v>
      </c>
    </row>
    <row r="28" spans="1:5" ht="12.75">
      <c r="A28" s="164">
        <v>38</v>
      </c>
      <c r="B28" s="163">
        <v>26</v>
      </c>
      <c r="C28" s="163" t="s">
        <v>1116</v>
      </c>
      <c r="D28" s="485">
        <v>3</v>
      </c>
      <c r="E28" s="512">
        <v>3</v>
      </c>
    </row>
    <row r="29" spans="1:5" ht="12.75">
      <c r="A29" s="164" t="s">
        <v>793</v>
      </c>
      <c r="B29" s="163">
        <v>27</v>
      </c>
      <c r="C29" s="163" t="s">
        <v>1116</v>
      </c>
      <c r="D29" s="485">
        <v>5</v>
      </c>
      <c r="E29" s="512">
        <v>5</v>
      </c>
    </row>
    <row r="30" spans="1:5" ht="12.75">
      <c r="A30" s="185" t="s">
        <v>794</v>
      </c>
      <c r="B30" s="184">
        <v>28</v>
      </c>
      <c r="C30" s="184" t="s">
        <v>1116</v>
      </c>
      <c r="D30" s="485">
        <v>5</v>
      </c>
      <c r="E30" s="512">
        <v>5</v>
      </c>
    </row>
    <row r="31" spans="1:5" ht="12.75">
      <c r="A31" s="185" t="s">
        <v>795</v>
      </c>
      <c r="B31" s="184">
        <v>29</v>
      </c>
      <c r="C31" s="184" t="s">
        <v>1116</v>
      </c>
      <c r="D31" s="485">
        <v>5</v>
      </c>
      <c r="E31" s="512">
        <v>5</v>
      </c>
    </row>
    <row r="32" spans="1:5" ht="12.75">
      <c r="A32" s="185" t="s">
        <v>796</v>
      </c>
      <c r="B32" s="184">
        <v>30</v>
      </c>
      <c r="C32" s="184" t="s">
        <v>1116</v>
      </c>
      <c r="D32" s="485">
        <v>5</v>
      </c>
      <c r="E32" s="512">
        <v>5</v>
      </c>
    </row>
    <row r="33" spans="1:5" ht="12.75">
      <c r="A33" s="185" t="s">
        <v>797</v>
      </c>
      <c r="B33" s="184">
        <v>31</v>
      </c>
      <c r="C33" s="184" t="s">
        <v>1116</v>
      </c>
      <c r="D33" s="485">
        <v>5</v>
      </c>
      <c r="E33" s="512">
        <v>5</v>
      </c>
    </row>
    <row r="34" spans="1:5" ht="12.75">
      <c r="A34" s="164">
        <v>40</v>
      </c>
      <c r="B34" s="163">
        <v>32</v>
      </c>
      <c r="C34" s="163" t="s">
        <v>1116</v>
      </c>
      <c r="D34" s="485">
        <v>3</v>
      </c>
      <c r="E34" s="512">
        <v>4</v>
      </c>
    </row>
    <row r="35" spans="1:5" ht="12.75">
      <c r="A35" s="164">
        <v>41</v>
      </c>
      <c r="B35" s="163">
        <v>33</v>
      </c>
      <c r="C35" s="163" t="s">
        <v>1116</v>
      </c>
      <c r="D35" s="485">
        <v>2</v>
      </c>
      <c r="E35" s="512">
        <v>3</v>
      </c>
    </row>
    <row r="36" spans="1:5" ht="12.75">
      <c r="A36" s="164" t="s">
        <v>798</v>
      </c>
      <c r="B36" s="163">
        <v>34</v>
      </c>
      <c r="C36" s="163" t="s">
        <v>1116</v>
      </c>
      <c r="D36" s="485">
        <v>3</v>
      </c>
      <c r="E36" s="512">
        <v>3</v>
      </c>
    </row>
    <row r="37" spans="1:4" ht="12.75">
      <c r="A37" s="490" t="s">
        <v>383</v>
      </c>
      <c r="B37" s="491"/>
      <c r="C37" s="491" t="s">
        <v>384</v>
      </c>
      <c r="D37" s="485"/>
    </row>
    <row r="38" spans="1:5" ht="12.75">
      <c r="A38" s="164">
        <v>44</v>
      </c>
      <c r="B38" s="163">
        <v>36</v>
      </c>
      <c r="C38" s="163" t="s">
        <v>1116</v>
      </c>
      <c r="D38" s="485">
        <v>3</v>
      </c>
      <c r="E38" s="512">
        <v>4</v>
      </c>
    </row>
    <row r="39" spans="1:5" ht="12.75">
      <c r="A39" s="164">
        <v>45</v>
      </c>
      <c r="B39" s="163">
        <v>37</v>
      </c>
      <c r="C39" s="163" t="s">
        <v>1116</v>
      </c>
      <c r="D39" s="485">
        <v>3</v>
      </c>
      <c r="E39" s="512">
        <v>4</v>
      </c>
    </row>
    <row r="40" spans="1:4" ht="12.75">
      <c r="A40" s="233">
        <v>46</v>
      </c>
      <c r="B40" s="232">
        <v>38</v>
      </c>
      <c r="C40" s="232" t="s">
        <v>1116</v>
      </c>
      <c r="D40" s="487"/>
    </row>
    <row r="41" spans="1:5" ht="12.75">
      <c r="A41" s="202">
        <v>47</v>
      </c>
      <c r="B41" s="201">
        <v>39</v>
      </c>
      <c r="C41" s="201" t="s">
        <v>1116</v>
      </c>
      <c r="D41" s="485">
        <v>2</v>
      </c>
      <c r="E41" s="512">
        <v>4</v>
      </c>
    </row>
    <row r="42" spans="1:4" ht="12.75">
      <c r="A42" s="233">
        <v>49</v>
      </c>
      <c r="B42" s="232">
        <v>40</v>
      </c>
      <c r="C42" s="232" t="s">
        <v>1116</v>
      </c>
      <c r="D42" s="487"/>
    </row>
    <row r="43" spans="1:5" ht="12.75">
      <c r="A43" s="164">
        <v>50</v>
      </c>
      <c r="B43" s="163">
        <v>41</v>
      </c>
      <c r="C43" s="163" t="s">
        <v>1116</v>
      </c>
      <c r="D43" s="485">
        <v>3</v>
      </c>
      <c r="E43" s="512">
        <v>3</v>
      </c>
    </row>
    <row r="44" spans="1:5" ht="12.75">
      <c r="A44" s="164">
        <v>51</v>
      </c>
      <c r="B44" s="163">
        <v>42</v>
      </c>
      <c r="C44" s="163" t="s">
        <v>1116</v>
      </c>
      <c r="D44" s="485">
        <v>5</v>
      </c>
      <c r="E44" s="512">
        <v>5</v>
      </c>
    </row>
    <row r="45" spans="1:5" ht="12.75">
      <c r="A45" s="185" t="s">
        <v>800</v>
      </c>
      <c r="B45" s="184">
        <v>43</v>
      </c>
      <c r="C45" s="184" t="s">
        <v>1116</v>
      </c>
      <c r="D45" s="485">
        <v>4</v>
      </c>
      <c r="E45" s="512">
        <v>4</v>
      </c>
    </row>
    <row r="46" spans="1:4" ht="12.75">
      <c r="A46" s="233" t="s">
        <v>801</v>
      </c>
      <c r="B46" s="232">
        <v>44</v>
      </c>
      <c r="C46" s="232" t="s">
        <v>1116</v>
      </c>
      <c r="D46" s="487"/>
    </row>
    <row r="47" spans="1:5" ht="12.75">
      <c r="A47" s="185">
        <v>53</v>
      </c>
      <c r="B47" s="184">
        <v>45</v>
      </c>
      <c r="C47" s="184" t="s">
        <v>1116</v>
      </c>
      <c r="D47" s="485">
        <v>2</v>
      </c>
      <c r="E47" s="512">
        <v>2</v>
      </c>
    </row>
    <row r="48" spans="1:5" ht="12.75">
      <c r="A48" s="164">
        <v>54</v>
      </c>
      <c r="B48" s="163">
        <v>46</v>
      </c>
      <c r="C48" s="163" t="s">
        <v>1116</v>
      </c>
      <c r="D48" s="485">
        <v>3</v>
      </c>
      <c r="E48" s="512">
        <v>3</v>
      </c>
    </row>
    <row r="49" spans="1:5" ht="12.75">
      <c r="A49" s="202">
        <v>59</v>
      </c>
      <c r="B49" s="201">
        <v>47</v>
      </c>
      <c r="C49" s="201" t="s">
        <v>1116</v>
      </c>
      <c r="D49" s="485">
        <v>3</v>
      </c>
      <c r="E49" s="512">
        <v>3</v>
      </c>
    </row>
    <row r="50" spans="1:5" ht="12.75">
      <c r="A50" s="164">
        <v>61</v>
      </c>
      <c r="B50" s="163">
        <v>48</v>
      </c>
      <c r="C50" s="182" t="s">
        <v>1116</v>
      </c>
      <c r="D50" s="485">
        <v>1</v>
      </c>
      <c r="E50" s="512">
        <v>1</v>
      </c>
    </row>
    <row r="51" spans="1:5" ht="12.75">
      <c r="A51" s="185" t="s">
        <v>802</v>
      </c>
      <c r="B51" s="184">
        <v>49</v>
      </c>
      <c r="C51" s="184" t="s">
        <v>1116</v>
      </c>
      <c r="D51" s="485">
        <v>5</v>
      </c>
      <c r="E51" s="512">
        <v>5</v>
      </c>
    </row>
    <row r="52" spans="1:5" ht="12.75">
      <c r="A52" s="185" t="s">
        <v>803</v>
      </c>
      <c r="B52" s="184">
        <v>50</v>
      </c>
      <c r="C52" s="184" t="s">
        <v>1116</v>
      </c>
      <c r="D52" s="485">
        <v>5</v>
      </c>
      <c r="E52" s="512">
        <v>5</v>
      </c>
    </row>
    <row r="53" spans="1:5" ht="12.75">
      <c r="A53" s="164">
        <v>64</v>
      </c>
      <c r="B53" s="163">
        <v>51</v>
      </c>
      <c r="C53" s="183" t="s">
        <v>1116</v>
      </c>
      <c r="D53" s="485">
        <v>1</v>
      </c>
      <c r="E53" s="512">
        <v>1</v>
      </c>
    </row>
    <row r="54" spans="1:5" ht="12.75">
      <c r="A54" s="164">
        <v>66</v>
      </c>
      <c r="B54" s="163">
        <v>52</v>
      </c>
      <c r="C54" s="183" t="s">
        <v>1116</v>
      </c>
      <c r="D54" s="485">
        <v>3</v>
      </c>
      <c r="E54" s="512">
        <v>3</v>
      </c>
    </row>
    <row r="55" spans="1:5" ht="12.75">
      <c r="A55" s="164">
        <v>69</v>
      </c>
      <c r="B55" s="163">
        <v>53</v>
      </c>
      <c r="C55" s="163" t="s">
        <v>1116</v>
      </c>
      <c r="D55" s="485">
        <v>3</v>
      </c>
      <c r="E55" s="512">
        <v>4</v>
      </c>
    </row>
    <row r="56" spans="1:5" ht="12.75">
      <c r="A56" s="164" t="s">
        <v>804</v>
      </c>
      <c r="B56" s="163">
        <v>54</v>
      </c>
      <c r="C56" s="163" t="s">
        <v>1116</v>
      </c>
      <c r="D56" s="485">
        <v>2</v>
      </c>
      <c r="E56" s="512">
        <v>3</v>
      </c>
    </row>
    <row r="57" spans="1:5" ht="12.75">
      <c r="A57" s="185" t="s">
        <v>805</v>
      </c>
      <c r="B57" s="184">
        <v>55</v>
      </c>
      <c r="C57" s="184" t="s">
        <v>1116</v>
      </c>
      <c r="D57" s="485">
        <v>2</v>
      </c>
      <c r="E57" s="512">
        <v>3</v>
      </c>
    </row>
    <row r="58" spans="1:5" ht="12.75">
      <c r="A58" s="202">
        <v>71</v>
      </c>
      <c r="B58" s="201">
        <v>56</v>
      </c>
      <c r="C58" s="201" t="s">
        <v>1116</v>
      </c>
      <c r="D58" s="485">
        <v>2</v>
      </c>
      <c r="E58" s="512">
        <v>3</v>
      </c>
    </row>
    <row r="59" spans="1:5" ht="12.75">
      <c r="A59" s="164">
        <v>72</v>
      </c>
      <c r="B59" s="163">
        <v>57</v>
      </c>
      <c r="C59" s="163" t="s">
        <v>1116</v>
      </c>
      <c r="D59" s="485">
        <v>2</v>
      </c>
      <c r="E59" s="512">
        <v>3</v>
      </c>
    </row>
    <row r="60" spans="1:5" ht="12.75">
      <c r="A60" s="164">
        <v>73</v>
      </c>
      <c r="B60" s="163">
        <v>58</v>
      </c>
      <c r="C60" s="163" t="s">
        <v>1116</v>
      </c>
      <c r="D60" s="485">
        <v>4</v>
      </c>
      <c r="E60" s="512">
        <v>4</v>
      </c>
    </row>
    <row r="61" spans="1:5" ht="12.75">
      <c r="A61" s="202">
        <v>74</v>
      </c>
      <c r="B61" s="201">
        <v>59</v>
      </c>
      <c r="C61" s="201" t="s">
        <v>1116</v>
      </c>
      <c r="D61" s="485">
        <v>2</v>
      </c>
      <c r="E61" s="512">
        <v>2</v>
      </c>
    </row>
    <row r="62" spans="1:5" ht="12.75">
      <c r="A62" s="221">
        <v>76</v>
      </c>
      <c r="B62" s="220">
        <v>60</v>
      </c>
      <c r="C62" s="220" t="s">
        <v>1116</v>
      </c>
      <c r="D62" s="485">
        <v>4</v>
      </c>
      <c r="E62" s="512">
        <v>4</v>
      </c>
    </row>
    <row r="63" spans="1:5" ht="12.75">
      <c r="A63" s="164">
        <v>77</v>
      </c>
      <c r="B63" s="163">
        <v>61</v>
      </c>
      <c r="C63" s="163" t="s">
        <v>1116</v>
      </c>
      <c r="D63" s="485">
        <v>3</v>
      </c>
      <c r="E63" s="512">
        <v>4</v>
      </c>
    </row>
    <row r="64" spans="1:4" ht="12.75">
      <c r="A64" s="233">
        <v>78</v>
      </c>
      <c r="B64" s="232">
        <v>62</v>
      </c>
      <c r="C64" s="232" t="s">
        <v>1116</v>
      </c>
      <c r="D64" s="487"/>
    </row>
    <row r="65" spans="1:5" ht="12.75">
      <c r="A65" s="221" t="s">
        <v>817</v>
      </c>
      <c r="B65" s="220">
        <v>63</v>
      </c>
      <c r="C65" s="220" t="s">
        <v>1116</v>
      </c>
      <c r="D65" s="485">
        <v>4</v>
      </c>
      <c r="E65" s="512">
        <v>4</v>
      </c>
    </row>
    <row r="66" spans="1:5" ht="12.75">
      <c r="A66" s="202" t="s">
        <v>818</v>
      </c>
      <c r="B66" s="201">
        <v>64</v>
      </c>
      <c r="C66" s="201" t="s">
        <v>1116</v>
      </c>
      <c r="D66" s="485">
        <v>4</v>
      </c>
      <c r="E66" s="512">
        <v>4</v>
      </c>
    </row>
    <row r="67" spans="1:4" ht="12.75">
      <c r="A67" s="185">
        <v>82</v>
      </c>
      <c r="B67" s="184">
        <v>65</v>
      </c>
      <c r="C67" s="184" t="s">
        <v>1116</v>
      </c>
      <c r="D67" s="486">
        <v>4</v>
      </c>
    </row>
    <row r="68" spans="1:5" ht="12.75">
      <c r="A68" s="164" t="s">
        <v>806</v>
      </c>
      <c r="B68" s="163">
        <v>66</v>
      </c>
      <c r="C68" s="163" t="s">
        <v>1116</v>
      </c>
      <c r="D68" s="489">
        <v>2</v>
      </c>
      <c r="E68" s="512">
        <v>2</v>
      </c>
    </row>
    <row r="69" spans="1:5" ht="12.75">
      <c r="A69" s="164" t="s">
        <v>807</v>
      </c>
      <c r="B69" s="163">
        <v>67</v>
      </c>
      <c r="C69" s="163" t="s">
        <v>1116</v>
      </c>
      <c r="D69" s="489">
        <v>2</v>
      </c>
      <c r="E69" s="512">
        <v>2</v>
      </c>
    </row>
    <row r="70" spans="1:5" ht="12.75">
      <c r="A70" s="164">
        <v>87</v>
      </c>
      <c r="B70" s="163">
        <v>68</v>
      </c>
      <c r="C70" s="163" t="s">
        <v>1116</v>
      </c>
      <c r="D70" s="489">
        <v>2</v>
      </c>
      <c r="E70" s="512">
        <v>2</v>
      </c>
    </row>
    <row r="71" spans="1:5" ht="12.75">
      <c r="A71" s="202">
        <v>88</v>
      </c>
      <c r="B71" s="201">
        <v>69</v>
      </c>
      <c r="C71" s="201" t="s">
        <v>1116</v>
      </c>
      <c r="D71" s="486">
        <v>4</v>
      </c>
      <c r="E71" s="512">
        <v>5</v>
      </c>
    </row>
    <row r="72" spans="1:5" ht="12.75">
      <c r="A72" s="164">
        <v>89</v>
      </c>
      <c r="B72" s="163">
        <v>70</v>
      </c>
      <c r="C72" s="163" t="s">
        <v>1116</v>
      </c>
      <c r="D72" s="485">
        <v>3</v>
      </c>
      <c r="E72" s="512">
        <v>3</v>
      </c>
    </row>
    <row r="73" spans="1:4" ht="12.75">
      <c r="A73" s="233">
        <v>90</v>
      </c>
      <c r="B73" s="232">
        <v>71</v>
      </c>
      <c r="C73" s="232" t="s">
        <v>1116</v>
      </c>
      <c r="D73" s="487"/>
    </row>
    <row r="74" spans="1:4" ht="12.75">
      <c r="A74" s="233">
        <v>91</v>
      </c>
      <c r="B74" s="232">
        <v>72</v>
      </c>
      <c r="C74" s="232" t="s">
        <v>1116</v>
      </c>
      <c r="D74" s="487"/>
    </row>
    <row r="75" spans="1:4" ht="12.75">
      <c r="A75" s="233">
        <v>92</v>
      </c>
      <c r="B75" s="232">
        <v>73</v>
      </c>
      <c r="C75" s="232" t="s">
        <v>1116</v>
      </c>
      <c r="D75" s="487"/>
    </row>
    <row r="76" spans="1:4" ht="12.75">
      <c r="A76" s="233">
        <v>93</v>
      </c>
      <c r="B76" s="232">
        <v>74</v>
      </c>
      <c r="C76" s="232" t="s">
        <v>1116</v>
      </c>
      <c r="D76" s="487"/>
    </row>
    <row r="77" spans="1:5" ht="12.75">
      <c r="A77" s="164" t="s">
        <v>13</v>
      </c>
      <c r="B77" s="163">
        <v>75</v>
      </c>
      <c r="C77" s="183" t="s">
        <v>1116</v>
      </c>
      <c r="D77" s="485">
        <v>2</v>
      </c>
      <c r="E77" s="512">
        <v>4</v>
      </c>
    </row>
    <row r="78" spans="1:5" ht="12.75">
      <c r="A78" s="164" t="s">
        <v>819</v>
      </c>
      <c r="B78" s="163">
        <v>76</v>
      </c>
      <c r="C78" s="183" t="s">
        <v>1116</v>
      </c>
      <c r="D78" s="485">
        <v>1</v>
      </c>
      <c r="E78" s="512">
        <v>1</v>
      </c>
    </row>
    <row r="79" spans="1:5" ht="12.75">
      <c r="A79" s="164" t="s">
        <v>820</v>
      </c>
      <c r="B79" s="163">
        <v>77</v>
      </c>
      <c r="C79" s="183" t="s">
        <v>1116</v>
      </c>
      <c r="D79" s="485">
        <v>1</v>
      </c>
      <c r="E79" s="512">
        <v>1</v>
      </c>
    </row>
    <row r="80" spans="1:5" ht="12.75">
      <c r="A80" s="185" t="s">
        <v>821</v>
      </c>
      <c r="B80" s="184">
        <v>78</v>
      </c>
      <c r="C80" s="184" t="s">
        <v>1116</v>
      </c>
      <c r="D80" s="485">
        <v>3</v>
      </c>
      <c r="E80" s="512">
        <v>3</v>
      </c>
    </row>
    <row r="81" spans="1:5" ht="12.75">
      <c r="A81" s="185" t="s">
        <v>822</v>
      </c>
      <c r="B81" s="184">
        <v>79</v>
      </c>
      <c r="C81" s="184" t="s">
        <v>1116</v>
      </c>
      <c r="D81" s="485">
        <v>3</v>
      </c>
      <c r="E81" s="512">
        <v>3</v>
      </c>
    </row>
    <row r="82" spans="1:5" ht="12.75">
      <c r="A82" s="185">
        <v>101</v>
      </c>
      <c r="B82" s="184">
        <v>80</v>
      </c>
      <c r="C82" s="184" t="s">
        <v>1116</v>
      </c>
      <c r="D82" s="485">
        <v>2</v>
      </c>
      <c r="E82" s="512">
        <v>3</v>
      </c>
    </row>
    <row r="83" spans="1:5" ht="12.75">
      <c r="A83" s="221">
        <v>102</v>
      </c>
      <c r="B83" s="220">
        <v>81</v>
      </c>
      <c r="C83" s="263" t="s">
        <v>1116</v>
      </c>
      <c r="D83" s="485">
        <v>4</v>
      </c>
      <c r="E83" s="512">
        <v>5</v>
      </c>
    </row>
    <row r="84" spans="1:5" ht="12.75">
      <c r="A84" s="202">
        <v>104</v>
      </c>
      <c r="B84" s="201">
        <v>82</v>
      </c>
      <c r="C84" s="264" t="s">
        <v>1116</v>
      </c>
      <c r="D84" s="485">
        <v>2</v>
      </c>
      <c r="E84" s="512">
        <v>5</v>
      </c>
    </row>
    <row r="85" spans="1:5" ht="12.75">
      <c r="A85" s="202" t="s">
        <v>784</v>
      </c>
      <c r="B85" s="201">
        <v>83</v>
      </c>
      <c r="C85" s="201" t="s">
        <v>1116</v>
      </c>
      <c r="D85" s="485">
        <v>4</v>
      </c>
      <c r="E85" s="512">
        <v>4</v>
      </c>
    </row>
    <row r="86" spans="1:5" ht="12.75">
      <c r="A86" s="221" t="s">
        <v>785</v>
      </c>
      <c r="B86" s="220">
        <v>84</v>
      </c>
      <c r="C86" s="220" t="s">
        <v>1116</v>
      </c>
      <c r="D86" s="485">
        <v>4</v>
      </c>
      <c r="E86" s="512">
        <v>4</v>
      </c>
    </row>
    <row r="87" spans="1:5" ht="12.75">
      <c r="A87" s="289" t="s">
        <v>786</v>
      </c>
      <c r="B87" s="290">
        <v>85</v>
      </c>
      <c r="C87" s="290" t="s">
        <v>1116</v>
      </c>
      <c r="D87" s="485">
        <v>4</v>
      </c>
      <c r="E87" s="512">
        <v>4</v>
      </c>
    </row>
    <row r="88" spans="1:3" ht="12.75">
      <c r="A88" s="52">
        <v>65</v>
      </c>
      <c r="C88" s="51"/>
    </row>
    <row r="89" spans="1:5" ht="12.75">
      <c r="A89" s="680">
        <v>84</v>
      </c>
      <c r="B89" s="294">
        <v>87</v>
      </c>
      <c r="C89" s="676" t="s">
        <v>1116</v>
      </c>
      <c r="D89" s="485">
        <v>1</v>
      </c>
      <c r="E89" s="512">
        <v>4</v>
      </c>
    </row>
    <row r="90" spans="1:3" ht="12.75">
      <c r="A90" s="52"/>
      <c r="C90" s="51"/>
    </row>
    <row r="91" spans="1:3" ht="12.75">
      <c r="A91" s="52"/>
      <c r="C91" s="51"/>
    </row>
    <row r="92" spans="1:3" ht="12.75">
      <c r="A92" s="52"/>
      <c r="C92" s="51"/>
    </row>
    <row r="93" spans="1:3" ht="12.75">
      <c r="A93" s="52"/>
      <c r="C93" s="51"/>
    </row>
    <row r="94" spans="1:3" ht="12.75">
      <c r="A94" s="52"/>
      <c r="C94" s="51"/>
    </row>
    <row r="95" spans="1:3" ht="12.75">
      <c r="A95" s="52"/>
      <c r="C95" s="51"/>
    </row>
    <row r="96" spans="1:3" ht="12.75">
      <c r="A96" s="52"/>
      <c r="C96" s="51"/>
    </row>
    <row r="97" spans="1:3" ht="12.75">
      <c r="A97" s="52"/>
      <c r="C97" s="51"/>
    </row>
    <row r="98" spans="1:3" ht="12.75">
      <c r="A98" s="52"/>
      <c r="C98" s="51"/>
    </row>
    <row r="99" spans="1:3" ht="12.75">
      <c r="A99" s="52"/>
      <c r="C99" s="51"/>
    </row>
    <row r="100" spans="1:3" ht="12.75">
      <c r="A100" s="52"/>
      <c r="C100" s="51"/>
    </row>
    <row r="101" spans="1:3" ht="12.75">
      <c r="A101" s="52"/>
      <c r="C101" s="51"/>
    </row>
    <row r="102" spans="1:3" ht="12.75">
      <c r="A102" s="52"/>
      <c r="C102" s="51"/>
    </row>
    <row r="103" spans="1:3" ht="12.75">
      <c r="A103" s="52"/>
      <c r="C103" s="51"/>
    </row>
    <row r="104" spans="1:3" ht="12.75">
      <c r="A104" s="52"/>
      <c r="C104" s="51"/>
    </row>
    <row r="105" spans="1:3" ht="12.75">
      <c r="A105" s="52"/>
      <c r="C105" s="51"/>
    </row>
    <row r="106" ht="12.75">
      <c r="A106" s="50"/>
    </row>
    <row r="107" ht="12.75">
      <c r="A107" s="50"/>
    </row>
    <row r="108" ht="12.75">
      <c r="A108" s="50"/>
    </row>
    <row r="109" ht="12.75">
      <c r="A109" s="50"/>
    </row>
    <row r="110" ht="12.75">
      <c r="A110" s="50"/>
    </row>
    <row r="111" ht="12.75">
      <c r="A111" s="50"/>
    </row>
    <row r="112" ht="12.75">
      <c r="A112" s="50"/>
    </row>
    <row r="113" ht="12.75">
      <c r="A113" s="50"/>
    </row>
    <row r="114" ht="12.75">
      <c r="A114" s="50"/>
    </row>
    <row r="115" ht="12.75">
      <c r="A115" s="50"/>
    </row>
    <row r="116" ht="12.75">
      <c r="A116" s="50"/>
    </row>
    <row r="117" ht="12.75">
      <c r="A117" s="50"/>
    </row>
    <row r="118" ht="12.75">
      <c r="A118" s="50"/>
    </row>
    <row r="119" ht="12.75">
      <c r="A119" s="50"/>
    </row>
    <row r="120" ht="12.75">
      <c r="A120" s="50"/>
    </row>
    <row r="121" ht="12.75">
      <c r="A121" s="50"/>
    </row>
    <row r="122" ht="12.75">
      <c r="A122" s="50"/>
    </row>
    <row r="123" ht="12.75">
      <c r="A123" s="50"/>
    </row>
    <row r="124" ht="12.75">
      <c r="A124" s="50"/>
    </row>
    <row r="125" ht="12.75">
      <c r="A125" s="50"/>
    </row>
    <row r="126" ht="12.75">
      <c r="A126" s="50"/>
    </row>
    <row r="127" ht="12.75">
      <c r="A127" s="50"/>
    </row>
    <row r="128" ht="12.75">
      <c r="A128" s="50"/>
    </row>
    <row r="129" ht="12.75">
      <c r="A129" s="50"/>
    </row>
    <row r="130" ht="12.75">
      <c r="A130" s="50"/>
    </row>
    <row r="131" ht="12.75">
      <c r="A131" s="50"/>
    </row>
    <row r="132" ht="12.75">
      <c r="A132" s="50"/>
    </row>
    <row r="133" ht="12.75">
      <c r="A133" s="50"/>
    </row>
    <row r="134" ht="12.75">
      <c r="A134" s="50"/>
    </row>
    <row r="135" ht="12.75">
      <c r="A135" s="50"/>
    </row>
    <row r="136" ht="12.75">
      <c r="A136" s="50"/>
    </row>
    <row r="137" ht="12.75">
      <c r="A137" s="50"/>
    </row>
    <row r="138" ht="12.75">
      <c r="A138" s="50"/>
    </row>
    <row r="139" ht="12.75">
      <c r="A139" s="50"/>
    </row>
    <row r="140" ht="12.75">
      <c r="A140" s="50"/>
    </row>
    <row r="141" ht="12.75">
      <c r="A141" s="50"/>
    </row>
    <row r="142" ht="12.75">
      <c r="A142" s="50"/>
    </row>
    <row r="143" ht="12.75">
      <c r="A143" s="50"/>
    </row>
    <row r="144" ht="12.75">
      <c r="A144" s="50"/>
    </row>
    <row r="145" ht="12.75">
      <c r="A145" s="50"/>
    </row>
    <row r="146" ht="12.75">
      <c r="A146" s="50"/>
    </row>
    <row r="147" ht="12.75">
      <c r="A147" s="50"/>
    </row>
    <row r="148" ht="12.75">
      <c r="A148" s="50"/>
    </row>
    <row r="149" ht="12.75">
      <c r="A149" s="50"/>
    </row>
    <row r="150" ht="12.75">
      <c r="A150" s="50"/>
    </row>
    <row r="151" ht="12.75">
      <c r="A151" s="50"/>
    </row>
    <row r="152" ht="12.75">
      <c r="A152" s="50"/>
    </row>
    <row r="153" ht="12.75">
      <c r="A153" s="50"/>
    </row>
    <row r="154" ht="12.75">
      <c r="A154" s="50"/>
    </row>
    <row r="155" ht="12.75">
      <c r="A155" s="50"/>
    </row>
    <row r="156" ht="12.75">
      <c r="A156" s="50"/>
    </row>
    <row r="157" ht="12.75">
      <c r="A157" s="50"/>
    </row>
    <row r="158" ht="12.75">
      <c r="A158" s="50"/>
    </row>
    <row r="159" ht="12.75">
      <c r="A159" s="50"/>
    </row>
    <row r="160" ht="12.75">
      <c r="A160" s="50"/>
    </row>
    <row r="161" ht="12.75">
      <c r="A161" s="50"/>
    </row>
    <row r="162" ht="12.75">
      <c r="A162" s="50"/>
    </row>
    <row r="163" ht="12.75">
      <c r="A163" s="50"/>
    </row>
    <row r="164" ht="12.75">
      <c r="A164" s="50"/>
    </row>
    <row r="165" ht="12.75">
      <c r="A165" s="50"/>
    </row>
    <row r="166" ht="12.75">
      <c r="A166" s="50"/>
    </row>
    <row r="167" ht="12.75">
      <c r="A167" s="50"/>
    </row>
    <row r="168" ht="12.75">
      <c r="A168" s="50"/>
    </row>
    <row r="169" ht="12.75">
      <c r="A169" s="50"/>
    </row>
    <row r="170" ht="12.75">
      <c r="A170" s="50"/>
    </row>
    <row r="171" ht="12.75">
      <c r="A171" s="50"/>
    </row>
    <row r="172" ht="12.75">
      <c r="A172" s="50"/>
    </row>
  </sheetData>
  <sheetProtection/>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X89"/>
  <sheetViews>
    <sheetView zoomScalePageLayoutView="0" workbookViewId="0" topLeftCell="A1">
      <pane xSplit="2" ySplit="2" topLeftCell="C4" activePane="bottomRight" state="frozen"/>
      <selection pane="topLeft" activeCell="A1" sqref="A1"/>
      <selection pane="topRight" activeCell="D1" sqref="D1"/>
      <selection pane="bottomLeft" activeCell="A5" sqref="A5"/>
      <selection pane="bottomRight" activeCell="B90" sqref="B90"/>
    </sheetView>
  </sheetViews>
  <sheetFormatPr defaultColWidth="9.140625" defaultRowHeight="24.75" customHeight="1"/>
  <cols>
    <col min="2" max="2" width="18.57421875" style="0" customWidth="1"/>
    <col min="6" max="6" width="9.57421875" style="0" bestFit="1" customWidth="1"/>
  </cols>
  <sheetData>
    <row r="1" spans="1:19" ht="24.75" customHeight="1">
      <c r="A1" s="315"/>
      <c r="B1" s="335"/>
      <c r="C1" s="348"/>
      <c r="D1" s="806" t="s">
        <v>1070</v>
      </c>
      <c r="E1" s="807"/>
      <c r="F1" s="807"/>
      <c r="G1" s="807"/>
      <c r="H1" s="808"/>
      <c r="I1" s="807" t="s">
        <v>1071</v>
      </c>
      <c r="J1" s="807"/>
      <c r="K1" s="807"/>
      <c r="L1" s="807"/>
      <c r="M1" s="808"/>
      <c r="N1" s="370" t="s">
        <v>1072</v>
      </c>
      <c r="O1" s="372" t="s">
        <v>1073</v>
      </c>
      <c r="P1" s="375"/>
      <c r="Q1" s="335" t="s">
        <v>1074</v>
      </c>
      <c r="R1" s="335"/>
      <c r="S1" s="361" t="s">
        <v>1075</v>
      </c>
    </row>
    <row r="2" spans="1:19" ht="24.75" customHeight="1">
      <c r="A2" s="315"/>
      <c r="B2" s="336"/>
      <c r="C2" s="466"/>
      <c r="D2" s="356" t="s">
        <v>943</v>
      </c>
      <c r="E2" s="356" t="s">
        <v>946</v>
      </c>
      <c r="F2" s="356" t="s">
        <v>949</v>
      </c>
      <c r="G2" s="356" t="s">
        <v>952</v>
      </c>
      <c r="H2" s="356" t="s">
        <v>955</v>
      </c>
      <c r="I2" s="356" t="s">
        <v>943</v>
      </c>
      <c r="J2" s="356" t="s">
        <v>946</v>
      </c>
      <c r="K2" s="356" t="s">
        <v>949</v>
      </c>
      <c r="L2" s="356" t="s">
        <v>952</v>
      </c>
      <c r="M2" s="361" t="s">
        <v>955</v>
      </c>
      <c r="N2" s="371"/>
      <c r="O2" s="373"/>
      <c r="P2" s="371"/>
      <c r="Q2" s="336"/>
      <c r="R2" s="336"/>
      <c r="S2" s="349"/>
    </row>
    <row r="3" spans="1:19" ht="24.75" customHeight="1">
      <c r="A3" s="300">
        <v>1</v>
      </c>
      <c r="B3" s="398" t="s">
        <v>70</v>
      </c>
      <c r="C3" s="408" t="s">
        <v>591</v>
      </c>
      <c r="D3" s="569">
        <f>200/40*125</f>
        <v>625</v>
      </c>
      <c r="E3" s="569">
        <v>0</v>
      </c>
      <c r="F3" s="569">
        <v>0</v>
      </c>
      <c r="G3" s="569">
        <f>4/40*125</f>
        <v>12.5</v>
      </c>
      <c r="H3" s="340" t="s">
        <v>591</v>
      </c>
      <c r="I3" s="470">
        <f>204/40*125</f>
        <v>637.5</v>
      </c>
      <c r="J3" s="470">
        <v>0</v>
      </c>
      <c r="K3" s="470">
        <v>0</v>
      </c>
      <c r="L3" s="470">
        <v>0</v>
      </c>
      <c r="M3" s="362"/>
      <c r="N3" s="337"/>
      <c r="O3" s="352"/>
      <c r="P3" s="338"/>
      <c r="Q3" s="337" t="s">
        <v>990</v>
      </c>
      <c r="R3" s="338"/>
      <c r="S3" s="351" t="s">
        <v>1055</v>
      </c>
    </row>
    <row r="4" spans="1:19" ht="24.75" customHeight="1">
      <c r="A4" s="317">
        <v>2</v>
      </c>
      <c r="B4" s="337" t="s">
        <v>1069</v>
      </c>
      <c r="C4" s="340" t="s">
        <v>591</v>
      </c>
      <c r="D4" s="570">
        <v>128.687</v>
      </c>
      <c r="E4" s="570">
        <v>49.4</v>
      </c>
      <c r="F4" s="570">
        <v>163.02</v>
      </c>
      <c r="G4" s="570">
        <v>103.74</v>
      </c>
      <c r="H4" s="340" t="s">
        <v>591</v>
      </c>
      <c r="I4" s="468">
        <v>177.099</v>
      </c>
      <c r="J4" s="468">
        <v>0</v>
      </c>
      <c r="K4" s="468">
        <v>177.84</v>
      </c>
      <c r="L4" s="468">
        <v>0</v>
      </c>
      <c r="M4" s="351"/>
      <c r="N4" s="337" t="s">
        <v>973</v>
      </c>
      <c r="O4" s="352"/>
      <c r="P4" s="337"/>
      <c r="Q4" s="337" t="s">
        <v>991</v>
      </c>
      <c r="R4" s="337"/>
      <c r="S4" s="351"/>
    </row>
    <row r="5" spans="1:19" ht="24.75" customHeight="1">
      <c r="A5" s="317">
        <v>3</v>
      </c>
      <c r="B5" s="337" t="s">
        <v>1069</v>
      </c>
      <c r="C5" s="340" t="s">
        <v>591</v>
      </c>
      <c r="D5" s="469">
        <f>D4</f>
        <v>128.687</v>
      </c>
      <c r="E5" s="469">
        <f>E4</f>
        <v>49.4</v>
      </c>
      <c r="F5" s="469">
        <f>F4</f>
        <v>163.02</v>
      </c>
      <c r="G5" s="469">
        <f>G4</f>
        <v>103.74</v>
      </c>
      <c r="H5" s="340" t="s">
        <v>591</v>
      </c>
      <c r="I5" s="470">
        <f>I4</f>
        <v>177.099</v>
      </c>
      <c r="J5" s="470">
        <f>J4</f>
        <v>0</v>
      </c>
      <c r="K5" s="470">
        <f>K4</f>
        <v>177.84</v>
      </c>
      <c r="L5" s="470">
        <f>L4</f>
        <v>0</v>
      </c>
      <c r="M5" s="351"/>
      <c r="N5" s="337" t="s">
        <v>973</v>
      </c>
      <c r="O5" s="352"/>
      <c r="P5" s="338"/>
      <c r="Q5" s="337" t="s">
        <v>992</v>
      </c>
      <c r="R5" s="337"/>
      <c r="S5" s="351"/>
    </row>
    <row r="6" spans="1:19" ht="24.75" customHeight="1">
      <c r="A6" s="317">
        <v>4</v>
      </c>
      <c r="B6" s="337" t="s">
        <v>1069</v>
      </c>
      <c r="C6" s="344"/>
      <c r="D6" s="469">
        <v>258.75</v>
      </c>
      <c r="E6" s="469">
        <v>9</v>
      </c>
      <c r="F6" s="469">
        <v>51.25</v>
      </c>
      <c r="G6" s="470">
        <v>25.25</v>
      </c>
      <c r="H6" s="340" t="s">
        <v>591</v>
      </c>
      <c r="I6" s="470">
        <v>255.645</v>
      </c>
      <c r="J6" s="470">
        <v>0</v>
      </c>
      <c r="K6" s="470">
        <v>0</v>
      </c>
      <c r="L6" s="470">
        <v>0</v>
      </c>
      <c r="M6" s="362"/>
      <c r="N6" s="338"/>
      <c r="O6" s="351"/>
      <c r="P6" s="337"/>
      <c r="Q6" s="337"/>
      <c r="R6" s="338"/>
      <c r="S6" s="362"/>
    </row>
    <row r="7" spans="1:19" ht="24.75" customHeight="1">
      <c r="A7" s="317">
        <v>5</v>
      </c>
      <c r="B7" s="337" t="s">
        <v>1068</v>
      </c>
      <c r="C7" s="340" t="s">
        <v>591</v>
      </c>
      <c r="D7" s="470">
        <v>170.43</v>
      </c>
      <c r="E7" s="470">
        <v>8.892000000000001</v>
      </c>
      <c r="F7" s="470">
        <v>50.635</v>
      </c>
      <c r="G7" s="470">
        <v>24.947000000000003</v>
      </c>
      <c r="H7" s="340" t="s">
        <v>591</v>
      </c>
      <c r="I7" s="470">
        <v>255.645</v>
      </c>
      <c r="J7" s="470">
        <v>0</v>
      </c>
      <c r="K7" s="470">
        <v>0</v>
      </c>
      <c r="L7" s="470">
        <v>0</v>
      </c>
      <c r="M7" s="351"/>
      <c r="N7" s="337"/>
      <c r="O7" s="351"/>
      <c r="P7" s="337"/>
      <c r="Q7" s="337" t="s">
        <v>993</v>
      </c>
      <c r="R7" s="337"/>
      <c r="S7" s="351"/>
    </row>
    <row r="8" spans="1:19" ht="24.75" customHeight="1">
      <c r="A8" s="317">
        <v>6</v>
      </c>
      <c r="B8" s="338" t="s">
        <v>1069</v>
      </c>
      <c r="C8" s="340" t="s">
        <v>591</v>
      </c>
      <c r="D8" s="468">
        <v>163.6375</v>
      </c>
      <c r="E8" s="468">
        <v>55.575</v>
      </c>
      <c r="F8" s="468">
        <v>46.3125</v>
      </c>
      <c r="G8" s="468">
        <v>4.446</v>
      </c>
      <c r="H8" s="340" t="s">
        <v>591</v>
      </c>
      <c r="I8" s="468">
        <v>200.07</v>
      </c>
      <c r="J8" s="468">
        <v>0</v>
      </c>
      <c r="K8" s="468">
        <v>74.1</v>
      </c>
      <c r="L8" s="468">
        <v>74.1</v>
      </c>
      <c r="M8" s="352"/>
      <c r="N8" s="338"/>
      <c r="O8" s="352"/>
      <c r="P8" s="338"/>
      <c r="Q8" s="338"/>
      <c r="R8" s="338"/>
      <c r="S8" s="352"/>
    </row>
    <row r="9" spans="1:19" ht="24.75" customHeight="1">
      <c r="A9" s="317" t="s">
        <v>808</v>
      </c>
      <c r="B9" s="338" t="s">
        <v>1069</v>
      </c>
      <c r="C9" s="340" t="s">
        <v>591</v>
      </c>
      <c r="D9" s="469">
        <v>158.08</v>
      </c>
      <c r="E9" s="469">
        <v>49.4</v>
      </c>
      <c r="F9" s="469">
        <v>0</v>
      </c>
      <c r="G9" s="470">
        <v>4.94</v>
      </c>
      <c r="H9" s="340" t="s">
        <v>591</v>
      </c>
      <c r="I9" s="470">
        <v>227</v>
      </c>
      <c r="J9" s="470">
        <v>0</v>
      </c>
      <c r="K9" s="470">
        <v>0</v>
      </c>
      <c r="L9" s="470">
        <v>0</v>
      </c>
      <c r="M9" s="351"/>
      <c r="N9" s="338"/>
      <c r="O9" s="352"/>
      <c r="P9" s="338"/>
      <c r="Q9" s="337" t="s">
        <v>994</v>
      </c>
      <c r="R9" s="338"/>
      <c r="S9" s="352"/>
    </row>
    <row r="10" spans="1:19" s="1" customFormat="1" ht="24.75" customHeight="1">
      <c r="A10" s="317" t="s">
        <v>809</v>
      </c>
      <c r="B10" s="338" t="s">
        <v>1069</v>
      </c>
      <c r="C10" s="340" t="s">
        <v>591</v>
      </c>
      <c r="D10" s="469">
        <f>D9</f>
        <v>158.08</v>
      </c>
      <c r="E10" s="469">
        <f>E9</f>
        <v>49.4</v>
      </c>
      <c r="F10" s="469">
        <f>F9</f>
        <v>0</v>
      </c>
      <c r="G10" s="469">
        <f>G9</f>
        <v>4.94</v>
      </c>
      <c r="H10" s="340" t="s">
        <v>591</v>
      </c>
      <c r="I10" s="470">
        <f>I9</f>
        <v>227</v>
      </c>
      <c r="J10" s="470">
        <v>0</v>
      </c>
      <c r="K10" s="470">
        <v>0</v>
      </c>
      <c r="L10" s="470">
        <v>0</v>
      </c>
      <c r="M10" s="351"/>
      <c r="N10" s="338"/>
      <c r="O10" s="352"/>
      <c r="P10" s="338"/>
      <c r="Q10" s="337"/>
      <c r="R10" s="338"/>
      <c r="S10" s="352"/>
    </row>
    <row r="11" spans="1:19" ht="24.75" customHeight="1">
      <c r="A11" s="317">
        <v>12</v>
      </c>
      <c r="B11" s="338" t="s">
        <v>1069</v>
      </c>
      <c r="C11" s="340" t="s">
        <v>591</v>
      </c>
      <c r="D11" s="468">
        <v>33.75</v>
      </c>
      <c r="E11" s="468">
        <v>37.5</v>
      </c>
      <c r="F11" s="468">
        <v>31.25</v>
      </c>
      <c r="G11" s="468">
        <v>3</v>
      </c>
      <c r="H11" s="358" t="s">
        <v>771</v>
      </c>
      <c r="I11" s="470">
        <v>102.5</v>
      </c>
      <c r="J11" s="470">
        <v>0</v>
      </c>
      <c r="K11" s="470">
        <v>0</v>
      </c>
      <c r="L11" s="470">
        <v>120</v>
      </c>
      <c r="M11" s="362"/>
      <c r="N11" s="337"/>
      <c r="O11" s="351"/>
      <c r="P11" s="337"/>
      <c r="Q11" s="337" t="s">
        <v>995</v>
      </c>
      <c r="R11" s="338"/>
      <c r="S11" s="352"/>
    </row>
    <row r="12" spans="1:19" ht="24.75" customHeight="1">
      <c r="A12" s="320">
        <v>15</v>
      </c>
      <c r="B12" s="345" t="s">
        <v>1068</v>
      </c>
      <c r="C12" s="340" t="s">
        <v>591</v>
      </c>
      <c r="D12" s="471">
        <v>170.43</v>
      </c>
      <c r="E12" s="471">
        <v>8.892000000000001</v>
      </c>
      <c r="F12" s="471">
        <v>50.635</v>
      </c>
      <c r="G12" s="467">
        <v>24.947000000000003</v>
      </c>
      <c r="H12" s="340" t="s">
        <v>591</v>
      </c>
      <c r="I12" s="467">
        <v>182.78</v>
      </c>
      <c r="J12" s="467">
        <v>0</v>
      </c>
      <c r="K12" s="467">
        <v>49.4</v>
      </c>
      <c r="L12" s="467">
        <v>0</v>
      </c>
      <c r="M12" s="362"/>
      <c r="N12" s="342"/>
      <c r="O12" s="366"/>
      <c r="P12" s="376"/>
      <c r="Q12" s="339" t="s">
        <v>1034</v>
      </c>
      <c r="R12" s="376"/>
      <c r="S12" s="366"/>
    </row>
    <row r="13" spans="1:19" ht="24.75" customHeight="1">
      <c r="A13" s="317">
        <v>16</v>
      </c>
      <c r="B13" s="338" t="s">
        <v>1069</v>
      </c>
      <c r="C13" s="340" t="s">
        <v>591</v>
      </c>
      <c r="D13" s="468">
        <v>277.625</v>
      </c>
      <c r="E13" s="468">
        <v>64</v>
      </c>
      <c r="F13" s="468">
        <v>56.25</v>
      </c>
      <c r="G13" s="468">
        <v>42.75</v>
      </c>
      <c r="H13" s="340" t="s">
        <v>591</v>
      </c>
      <c r="I13" s="468">
        <v>220.5</v>
      </c>
      <c r="J13" s="468">
        <v>40.5</v>
      </c>
      <c r="K13" s="468">
        <v>48.75</v>
      </c>
      <c r="L13" s="468">
        <v>24.75</v>
      </c>
      <c r="M13" s="362"/>
      <c r="N13" s="338"/>
      <c r="O13" s="352"/>
      <c r="P13" s="338"/>
      <c r="Q13" s="339" t="s">
        <v>996</v>
      </c>
      <c r="R13" s="338"/>
      <c r="S13" s="352"/>
    </row>
    <row r="14" spans="1:19" ht="24.75" customHeight="1">
      <c r="A14" s="317">
        <v>17</v>
      </c>
      <c r="B14" s="338" t="s">
        <v>1068</v>
      </c>
      <c r="C14" s="340" t="s">
        <v>591</v>
      </c>
      <c r="D14" s="468">
        <v>170.545</v>
      </c>
      <c r="E14" s="468">
        <v>8.892000000000001</v>
      </c>
      <c r="F14" s="468">
        <v>50.635</v>
      </c>
      <c r="G14" s="468">
        <v>24.947000000000003</v>
      </c>
      <c r="H14" s="340" t="s">
        <v>591</v>
      </c>
      <c r="I14" s="470">
        <v>255.645</v>
      </c>
      <c r="J14" s="470">
        <v>0</v>
      </c>
      <c r="K14" s="470">
        <v>0</v>
      </c>
      <c r="L14" s="470">
        <v>0</v>
      </c>
      <c r="M14" s="351"/>
      <c r="N14" s="338"/>
      <c r="O14" s="352"/>
      <c r="P14" s="338"/>
      <c r="Q14" s="337" t="s">
        <v>993</v>
      </c>
      <c r="R14" s="338"/>
      <c r="S14" s="352"/>
    </row>
    <row r="15" spans="1:19" ht="24.75" customHeight="1">
      <c r="A15" s="317">
        <v>21</v>
      </c>
      <c r="B15" s="338" t="s">
        <v>1069</v>
      </c>
      <c r="C15" s="340" t="s">
        <v>591</v>
      </c>
      <c r="D15" s="468">
        <v>113.62</v>
      </c>
      <c r="E15" s="468">
        <v>8.892000000000001</v>
      </c>
      <c r="F15" s="468">
        <v>50.635</v>
      </c>
      <c r="G15" s="468">
        <v>24.947000000000003</v>
      </c>
      <c r="H15" s="340" t="s">
        <v>591</v>
      </c>
      <c r="I15" s="470">
        <v>176.256</v>
      </c>
      <c r="J15" s="470">
        <v>0</v>
      </c>
      <c r="K15" s="470">
        <v>0</v>
      </c>
      <c r="L15" s="470">
        <v>20.736</v>
      </c>
      <c r="M15" s="351"/>
      <c r="N15" s="338"/>
      <c r="O15" s="352"/>
      <c r="P15" s="338"/>
      <c r="Q15" s="337" t="s">
        <v>998</v>
      </c>
      <c r="R15" s="338"/>
      <c r="S15" s="352"/>
    </row>
    <row r="16" spans="1:19" ht="24.75" customHeight="1">
      <c r="A16" s="317">
        <v>22</v>
      </c>
      <c r="B16" s="338" t="s">
        <v>1068</v>
      </c>
      <c r="C16" s="340" t="s">
        <v>591</v>
      </c>
      <c r="D16" s="468">
        <v>90.896</v>
      </c>
      <c r="E16" s="468">
        <v>49.4</v>
      </c>
      <c r="F16" s="468">
        <v>71.136</v>
      </c>
      <c r="G16" s="468">
        <v>4.94</v>
      </c>
      <c r="H16" s="340" t="s">
        <v>591</v>
      </c>
      <c r="I16" s="470">
        <v>169.68900000000002</v>
      </c>
      <c r="J16" s="470">
        <v>18.525</v>
      </c>
      <c r="K16" s="470">
        <v>17.784000000000002</v>
      </c>
      <c r="L16" s="470">
        <v>0</v>
      </c>
      <c r="M16" s="351"/>
      <c r="N16" s="337"/>
      <c r="O16" s="352"/>
      <c r="P16" s="338"/>
      <c r="Q16" s="337" t="s">
        <v>999</v>
      </c>
      <c r="R16" s="338"/>
      <c r="S16" s="352"/>
    </row>
    <row r="17" spans="1:19" ht="24.75" customHeight="1">
      <c r="A17" s="317" t="s">
        <v>787</v>
      </c>
      <c r="B17" s="338" t="s">
        <v>1069</v>
      </c>
      <c r="C17" s="340" t="s">
        <v>591</v>
      </c>
      <c r="D17" s="570">
        <v>116.7075</v>
      </c>
      <c r="E17" s="570">
        <v>129.675</v>
      </c>
      <c r="F17" s="570">
        <v>108.0625</v>
      </c>
      <c r="G17" s="570">
        <v>10.374000000000002</v>
      </c>
      <c r="H17" s="340" t="s">
        <v>591</v>
      </c>
      <c r="I17" s="468">
        <v>263.055</v>
      </c>
      <c r="J17" s="468">
        <v>0</v>
      </c>
      <c r="K17" s="468">
        <v>59.28</v>
      </c>
      <c r="L17" s="468">
        <v>21.489</v>
      </c>
      <c r="M17" s="351"/>
      <c r="N17" s="338"/>
      <c r="O17" s="352"/>
      <c r="P17" s="338"/>
      <c r="Q17" s="337" t="s">
        <v>1000</v>
      </c>
      <c r="R17" s="338"/>
      <c r="S17" s="351" t="s">
        <v>1056</v>
      </c>
    </row>
    <row r="18" spans="1:19" ht="24.75" customHeight="1">
      <c r="A18" s="317" t="s">
        <v>788</v>
      </c>
      <c r="B18" s="338" t="s">
        <v>1069</v>
      </c>
      <c r="C18" s="340" t="s">
        <v>591</v>
      </c>
      <c r="D18" s="469">
        <v>117</v>
      </c>
      <c r="E18" s="469">
        <f>E17</f>
        <v>129.675</v>
      </c>
      <c r="F18" s="469">
        <f>F17</f>
        <v>108.0625</v>
      </c>
      <c r="G18" s="469">
        <f>G17</f>
        <v>10.374000000000002</v>
      </c>
      <c r="H18" s="340" t="s">
        <v>591</v>
      </c>
      <c r="I18" s="470">
        <f>I17</f>
        <v>263.055</v>
      </c>
      <c r="J18" s="470">
        <f>J17</f>
        <v>0</v>
      </c>
      <c r="K18" s="470">
        <f>K17</f>
        <v>59.28</v>
      </c>
      <c r="L18" s="470">
        <f>L17</f>
        <v>21.489</v>
      </c>
      <c r="M18" s="362"/>
      <c r="N18" s="339" t="s">
        <v>974</v>
      </c>
      <c r="O18" s="352"/>
      <c r="P18" s="338"/>
      <c r="Q18" s="339" t="s">
        <v>1001</v>
      </c>
      <c r="R18" s="338"/>
      <c r="S18" s="362" t="s">
        <v>1057</v>
      </c>
    </row>
    <row r="19" spans="1:19" s="1" customFormat="1" ht="24.75" customHeight="1">
      <c r="A19" s="317">
        <v>28</v>
      </c>
      <c r="B19" s="338" t="s">
        <v>1069</v>
      </c>
      <c r="C19" s="340" t="s">
        <v>591</v>
      </c>
      <c r="D19" s="468">
        <v>148.925</v>
      </c>
      <c r="E19" s="468">
        <v>11.052</v>
      </c>
      <c r="F19" s="468">
        <v>62.935</v>
      </c>
      <c r="G19" s="468">
        <v>31.007</v>
      </c>
      <c r="H19" s="340" t="s">
        <v>591</v>
      </c>
      <c r="I19" s="468">
        <v>108.0625</v>
      </c>
      <c r="J19" s="468">
        <v>0</v>
      </c>
      <c r="K19" s="468">
        <v>24.7</v>
      </c>
      <c r="L19" s="468">
        <v>18.525</v>
      </c>
      <c r="M19" s="362"/>
      <c r="N19" s="339"/>
      <c r="O19" s="352"/>
      <c r="P19" s="338"/>
      <c r="Q19" s="339"/>
      <c r="R19" s="338"/>
      <c r="S19" s="362"/>
    </row>
    <row r="20" spans="1:19" s="1" customFormat="1" ht="24.75" customHeight="1">
      <c r="A20" s="317">
        <v>29</v>
      </c>
      <c r="B20" s="399" t="s">
        <v>592</v>
      </c>
      <c r="C20" s="472" t="s">
        <v>591</v>
      </c>
      <c r="D20" s="473">
        <v>33.345</v>
      </c>
      <c r="E20" s="473">
        <v>37.05</v>
      </c>
      <c r="F20" s="473">
        <v>30.875</v>
      </c>
      <c r="G20" s="473">
        <v>2.964</v>
      </c>
      <c r="H20" s="340" t="s">
        <v>771</v>
      </c>
      <c r="I20" s="468">
        <v>195</v>
      </c>
      <c r="J20" s="468">
        <v>32.4</v>
      </c>
      <c r="K20" s="468">
        <v>39</v>
      </c>
      <c r="L20" s="468">
        <v>0</v>
      </c>
      <c r="M20" s="362"/>
      <c r="N20" s="339"/>
      <c r="O20" s="352"/>
      <c r="P20" s="338"/>
      <c r="Q20" s="339"/>
      <c r="R20" s="338"/>
      <c r="S20" s="362"/>
    </row>
    <row r="21" spans="1:19" ht="24.75" customHeight="1">
      <c r="A21" s="317">
        <v>31</v>
      </c>
      <c r="B21" s="338" t="s">
        <v>1068</v>
      </c>
      <c r="C21" s="344" t="s">
        <v>591</v>
      </c>
      <c r="D21" s="468">
        <v>103.92525</v>
      </c>
      <c r="E21" s="468">
        <v>8.151</v>
      </c>
      <c r="F21" s="468">
        <v>21.30375</v>
      </c>
      <c r="G21" s="468">
        <v>114.114</v>
      </c>
      <c r="H21" s="358" t="s">
        <v>591</v>
      </c>
      <c r="I21" s="468">
        <v>230.945</v>
      </c>
      <c r="J21" s="468">
        <v>0</v>
      </c>
      <c r="K21" s="468">
        <v>27.17</v>
      </c>
      <c r="L21" s="468">
        <v>47.5475</v>
      </c>
      <c r="M21" s="362"/>
      <c r="N21" s="339" t="s">
        <v>975</v>
      </c>
      <c r="O21" s="352"/>
      <c r="P21" s="338"/>
      <c r="Q21" s="337" t="s">
        <v>1002</v>
      </c>
      <c r="R21" s="338"/>
      <c r="S21" s="351" t="s">
        <v>1058</v>
      </c>
    </row>
    <row r="22" spans="1:19" ht="24.75" customHeight="1">
      <c r="A22" s="317" t="s">
        <v>789</v>
      </c>
      <c r="B22" s="338" t="s">
        <v>1068</v>
      </c>
      <c r="C22" s="344" t="s">
        <v>771</v>
      </c>
      <c r="D22" s="468">
        <v>194</v>
      </c>
      <c r="E22" s="468">
        <v>40</v>
      </c>
      <c r="F22" s="468">
        <v>63.8</v>
      </c>
      <c r="G22" s="468">
        <v>52</v>
      </c>
      <c r="H22" s="340" t="s">
        <v>771</v>
      </c>
      <c r="I22" s="468">
        <v>285</v>
      </c>
      <c r="J22" s="468">
        <v>20.16</v>
      </c>
      <c r="K22" s="468">
        <v>57.6</v>
      </c>
      <c r="L22" s="468">
        <v>18.72</v>
      </c>
      <c r="M22" s="351"/>
      <c r="N22" s="338"/>
      <c r="O22" s="352"/>
      <c r="P22" s="338"/>
      <c r="Q22" s="337" t="s">
        <v>1003</v>
      </c>
      <c r="R22" s="338"/>
      <c r="S22" s="352"/>
    </row>
    <row r="23" spans="1:19" ht="24.75" customHeight="1">
      <c r="A23" s="317" t="s">
        <v>790</v>
      </c>
      <c r="B23" s="338" t="s">
        <v>1068</v>
      </c>
      <c r="C23" s="344" t="s">
        <v>771</v>
      </c>
      <c r="D23" s="468">
        <v>194</v>
      </c>
      <c r="E23" s="468">
        <v>40</v>
      </c>
      <c r="F23" s="468">
        <v>63.8</v>
      </c>
      <c r="G23" s="468">
        <v>52</v>
      </c>
      <c r="H23" s="340" t="s">
        <v>771</v>
      </c>
      <c r="I23" s="468">
        <v>285</v>
      </c>
      <c r="J23" s="468">
        <v>37</v>
      </c>
      <c r="K23" s="468">
        <v>14.8</v>
      </c>
      <c r="L23" s="468">
        <v>2.96</v>
      </c>
      <c r="M23" s="352"/>
      <c r="N23" s="338"/>
      <c r="O23" s="352"/>
      <c r="P23" s="338"/>
      <c r="Q23" s="337" t="s">
        <v>1004</v>
      </c>
      <c r="R23" s="338"/>
      <c r="S23" s="352"/>
    </row>
    <row r="24" spans="1:19" ht="24.75" customHeight="1">
      <c r="A24" s="317" t="s">
        <v>791</v>
      </c>
      <c r="B24" s="338" t="s">
        <v>1068</v>
      </c>
      <c r="C24" s="344" t="s">
        <v>771</v>
      </c>
      <c r="D24" s="468">
        <v>194</v>
      </c>
      <c r="E24" s="468">
        <v>40</v>
      </c>
      <c r="F24" s="468">
        <v>63.8</v>
      </c>
      <c r="G24" s="468">
        <v>52</v>
      </c>
      <c r="H24" s="340" t="s">
        <v>771</v>
      </c>
      <c r="I24" s="468">
        <v>285</v>
      </c>
      <c r="J24" s="468">
        <v>37</v>
      </c>
      <c r="K24" s="468">
        <v>14.8</v>
      </c>
      <c r="L24" s="468">
        <v>29.6</v>
      </c>
      <c r="M24" s="352"/>
      <c r="N24" s="337"/>
      <c r="O24" s="351"/>
      <c r="P24" s="338"/>
      <c r="Q24" s="337" t="s">
        <v>1004</v>
      </c>
      <c r="R24" s="338"/>
      <c r="S24" s="352"/>
    </row>
    <row r="25" spans="1:19" ht="24.75" customHeight="1">
      <c r="A25" s="317" t="s">
        <v>792</v>
      </c>
      <c r="B25" s="338" t="s">
        <v>597</v>
      </c>
      <c r="C25" s="344" t="s">
        <v>771</v>
      </c>
      <c r="D25" s="468">
        <v>194</v>
      </c>
      <c r="E25" s="468">
        <v>40</v>
      </c>
      <c r="F25" s="468">
        <v>63.8</v>
      </c>
      <c r="G25" s="468">
        <v>52</v>
      </c>
      <c r="H25" s="340" t="s">
        <v>771</v>
      </c>
      <c r="I25" s="468">
        <v>285</v>
      </c>
      <c r="J25" s="468">
        <v>37</v>
      </c>
      <c r="K25" s="468">
        <v>14.8</v>
      </c>
      <c r="L25" s="468">
        <v>29.6</v>
      </c>
      <c r="M25" s="352"/>
      <c r="N25" s="337"/>
      <c r="O25" s="351"/>
      <c r="P25" s="338"/>
      <c r="Q25" s="337"/>
      <c r="R25" s="338"/>
      <c r="S25" s="352"/>
    </row>
    <row r="26" spans="1:19" ht="24.75" customHeight="1">
      <c r="A26" s="317">
        <v>36</v>
      </c>
      <c r="B26" s="338" t="s">
        <v>1069</v>
      </c>
      <c r="C26" s="344" t="s">
        <v>591</v>
      </c>
      <c r="D26" s="468">
        <v>161.8925</v>
      </c>
      <c r="E26" s="468">
        <v>11.052</v>
      </c>
      <c r="F26" s="468">
        <v>62.935</v>
      </c>
      <c r="G26" s="468">
        <v>179.20700000000002</v>
      </c>
      <c r="H26" s="340" t="s">
        <v>591</v>
      </c>
      <c r="I26" s="468">
        <v>207.48</v>
      </c>
      <c r="J26" s="468">
        <v>0</v>
      </c>
      <c r="K26" s="468">
        <v>88.92</v>
      </c>
      <c r="L26" s="468">
        <v>44.46</v>
      </c>
      <c r="M26" s="351"/>
      <c r="N26" s="338"/>
      <c r="O26" s="352"/>
      <c r="P26" s="338"/>
      <c r="Q26" s="338"/>
      <c r="R26" s="338"/>
      <c r="S26" s="352"/>
    </row>
    <row r="27" spans="1:19" ht="24.75" customHeight="1">
      <c r="A27" s="320">
        <v>37</v>
      </c>
      <c r="B27" s="213" t="s">
        <v>593</v>
      </c>
      <c r="C27" s="571" t="s">
        <v>591</v>
      </c>
      <c r="D27" s="473">
        <v>49.647000000000006</v>
      </c>
      <c r="E27" s="473">
        <v>0</v>
      </c>
      <c r="F27" s="473">
        <v>0</v>
      </c>
      <c r="G27" s="473">
        <v>6.6690000000000005</v>
      </c>
      <c r="H27" s="358" t="s">
        <v>591</v>
      </c>
      <c r="I27" s="468">
        <v>198.58800000000002</v>
      </c>
      <c r="J27" s="468">
        <v>0</v>
      </c>
      <c r="K27" s="468">
        <v>0</v>
      </c>
      <c r="L27" s="468">
        <v>26.676000000000002</v>
      </c>
      <c r="M27" s="369"/>
      <c r="N27" s="345"/>
      <c r="O27" s="355"/>
      <c r="P27" s="345"/>
      <c r="Q27" s="338" t="s">
        <v>1033</v>
      </c>
      <c r="R27" s="345"/>
      <c r="S27" s="352" t="s">
        <v>1066</v>
      </c>
    </row>
    <row r="28" spans="1:19" ht="24.75" customHeight="1">
      <c r="A28" s="317">
        <v>38</v>
      </c>
      <c r="B28" s="399" t="s">
        <v>594</v>
      </c>
      <c r="C28" s="344" t="s">
        <v>591</v>
      </c>
      <c r="D28" s="468">
        <v>161.8925</v>
      </c>
      <c r="E28" s="468">
        <v>11.052</v>
      </c>
      <c r="F28" s="468">
        <v>62.935</v>
      </c>
      <c r="G28" s="468">
        <v>179.20700000000002</v>
      </c>
      <c r="H28" s="340" t="s">
        <v>595</v>
      </c>
      <c r="I28" s="468">
        <v>183.75</v>
      </c>
      <c r="J28" s="468">
        <v>33.75</v>
      </c>
      <c r="K28" s="468">
        <v>40.625</v>
      </c>
      <c r="L28" s="468">
        <v>20.625</v>
      </c>
      <c r="M28" s="351"/>
      <c r="N28" s="337" t="s">
        <v>976</v>
      </c>
      <c r="O28" s="352"/>
      <c r="P28" s="338"/>
      <c r="Q28" s="337" t="s">
        <v>1005</v>
      </c>
      <c r="R28" s="338"/>
      <c r="S28" s="352"/>
    </row>
    <row r="29" spans="1:19" ht="24.75" customHeight="1">
      <c r="A29" s="317" t="s">
        <v>793</v>
      </c>
      <c r="B29" s="338" t="s">
        <v>165</v>
      </c>
      <c r="C29" s="344" t="s">
        <v>164</v>
      </c>
      <c r="D29" s="469">
        <v>194</v>
      </c>
      <c r="E29" s="469"/>
      <c r="F29" s="469"/>
      <c r="G29" s="478"/>
      <c r="H29" s="666"/>
      <c r="I29" s="572">
        <v>258</v>
      </c>
      <c r="J29" s="478"/>
      <c r="K29" s="478"/>
      <c r="L29" s="478"/>
      <c r="M29" s="667"/>
      <c r="N29" s="338"/>
      <c r="O29" s="352"/>
      <c r="P29" s="338"/>
      <c r="Q29" s="337" t="s">
        <v>1006</v>
      </c>
      <c r="R29" s="338"/>
      <c r="S29" s="352"/>
    </row>
    <row r="30" spans="1:19" ht="24.75" customHeight="1">
      <c r="A30" s="317" t="s">
        <v>794</v>
      </c>
      <c r="B30" s="338"/>
      <c r="C30" s="344" t="s">
        <v>164</v>
      </c>
      <c r="D30" s="469">
        <v>194</v>
      </c>
      <c r="E30" s="469"/>
      <c r="F30" s="469"/>
      <c r="G30" s="478"/>
      <c r="H30" s="666"/>
      <c r="I30" s="572">
        <v>258</v>
      </c>
      <c r="J30" s="478"/>
      <c r="K30" s="478"/>
      <c r="L30" s="478"/>
      <c r="M30" s="667"/>
      <c r="N30" s="338"/>
      <c r="O30" s="352"/>
      <c r="P30" s="338"/>
      <c r="Q30" s="337"/>
      <c r="R30" s="338"/>
      <c r="S30" s="352"/>
    </row>
    <row r="31" spans="1:19" ht="24.75" customHeight="1">
      <c r="A31" s="317" t="s">
        <v>795</v>
      </c>
      <c r="B31" s="338"/>
      <c r="C31" s="344" t="s">
        <v>164</v>
      </c>
      <c r="D31" s="469">
        <v>194</v>
      </c>
      <c r="E31" s="469"/>
      <c r="F31" s="469"/>
      <c r="G31" s="478"/>
      <c r="H31" s="666"/>
      <c r="I31" s="572">
        <v>258</v>
      </c>
      <c r="J31" s="478"/>
      <c r="K31" s="478"/>
      <c r="L31" s="478"/>
      <c r="M31" s="667"/>
      <c r="N31" s="338"/>
      <c r="O31" s="352"/>
      <c r="P31" s="338"/>
      <c r="Q31" s="337"/>
      <c r="R31" s="338"/>
      <c r="S31" s="352"/>
    </row>
    <row r="32" spans="1:19" ht="24.75" customHeight="1">
      <c r="A32" s="317" t="s">
        <v>796</v>
      </c>
      <c r="B32" s="338"/>
      <c r="C32" s="344" t="s">
        <v>164</v>
      </c>
      <c r="D32" s="469">
        <v>194</v>
      </c>
      <c r="E32" s="469"/>
      <c r="F32" s="469"/>
      <c r="G32" s="478"/>
      <c r="H32" s="666"/>
      <c r="I32" s="572">
        <v>258</v>
      </c>
      <c r="J32" s="478"/>
      <c r="K32" s="478"/>
      <c r="L32" s="478"/>
      <c r="M32" s="667"/>
      <c r="N32" s="338"/>
      <c r="O32" s="352"/>
      <c r="P32" s="338"/>
      <c r="Q32" s="337"/>
      <c r="R32" s="338"/>
      <c r="S32" s="352"/>
    </row>
    <row r="33" spans="1:19" ht="24.75" customHeight="1">
      <c r="A33" s="317" t="s">
        <v>797</v>
      </c>
      <c r="B33" s="338"/>
      <c r="C33" s="344" t="s">
        <v>164</v>
      </c>
      <c r="D33" s="469">
        <v>194</v>
      </c>
      <c r="E33" s="469"/>
      <c r="F33" s="469"/>
      <c r="G33" s="478"/>
      <c r="H33" s="666"/>
      <c r="I33" s="572">
        <v>258</v>
      </c>
      <c r="J33" s="478"/>
      <c r="K33" s="478"/>
      <c r="L33" s="478"/>
      <c r="M33" s="667"/>
      <c r="N33" s="338"/>
      <c r="O33" s="352"/>
      <c r="P33" s="338"/>
      <c r="Q33" s="337"/>
      <c r="R33" s="338"/>
      <c r="S33" s="352"/>
    </row>
    <row r="34" spans="1:19" ht="24.75" customHeight="1">
      <c r="A34" s="317">
        <v>40</v>
      </c>
      <c r="B34" s="338" t="s">
        <v>1068</v>
      </c>
      <c r="C34" s="344" t="s">
        <v>771</v>
      </c>
      <c r="D34" s="468">
        <v>202.5</v>
      </c>
      <c r="E34" s="468">
        <v>225</v>
      </c>
      <c r="F34" s="468">
        <v>0</v>
      </c>
      <c r="G34" s="468">
        <v>22.5</v>
      </c>
      <c r="H34" s="358" t="s">
        <v>771</v>
      </c>
      <c r="I34" s="470">
        <v>224</v>
      </c>
      <c r="J34" s="470">
        <v>60</v>
      </c>
      <c r="K34" s="470">
        <v>83</v>
      </c>
      <c r="L34" s="470">
        <v>22</v>
      </c>
      <c r="M34" s="362"/>
      <c r="N34" s="338"/>
      <c r="O34" s="352"/>
      <c r="P34" s="338"/>
      <c r="Q34" s="338"/>
      <c r="R34" s="338"/>
      <c r="S34" s="352"/>
    </row>
    <row r="35" spans="1:19" ht="24.75" customHeight="1">
      <c r="A35" s="317">
        <v>41</v>
      </c>
      <c r="B35" s="338" t="s">
        <v>1068</v>
      </c>
      <c r="C35" s="344" t="s">
        <v>351</v>
      </c>
      <c r="D35" s="468">
        <v>84.375</v>
      </c>
      <c r="E35" s="468">
        <v>93.75</v>
      </c>
      <c r="F35" s="468">
        <v>78.125</v>
      </c>
      <c r="G35" s="468">
        <v>7.5</v>
      </c>
      <c r="H35" s="358" t="s">
        <v>771</v>
      </c>
      <c r="I35" s="468">
        <v>245</v>
      </c>
      <c r="J35" s="468">
        <v>35</v>
      </c>
      <c r="K35" s="468">
        <v>28</v>
      </c>
      <c r="L35" s="468">
        <v>14</v>
      </c>
      <c r="M35" s="362"/>
      <c r="N35" s="339" t="s">
        <v>977</v>
      </c>
      <c r="O35" s="351"/>
      <c r="P35" s="338"/>
      <c r="Q35" s="339" t="s">
        <v>1007</v>
      </c>
      <c r="R35" s="338"/>
      <c r="S35" s="352"/>
    </row>
    <row r="36" spans="1:19" ht="24.75" customHeight="1">
      <c r="A36" s="317" t="s">
        <v>798</v>
      </c>
      <c r="B36" s="338" t="s">
        <v>1068</v>
      </c>
      <c r="C36" s="344" t="s">
        <v>591</v>
      </c>
      <c r="D36" s="468">
        <v>151.411</v>
      </c>
      <c r="E36" s="468">
        <v>37.544</v>
      </c>
      <c r="F36" s="468">
        <v>149.435</v>
      </c>
      <c r="G36" s="468">
        <v>3.952</v>
      </c>
      <c r="H36" s="340" t="s">
        <v>591</v>
      </c>
      <c r="I36" s="468">
        <v>265.278</v>
      </c>
      <c r="J36" s="468">
        <v>8.892000000000001</v>
      </c>
      <c r="K36" s="468">
        <v>51.87</v>
      </c>
      <c r="L36" s="468">
        <v>14.82</v>
      </c>
      <c r="M36" s="351"/>
      <c r="N36" s="338"/>
      <c r="O36" s="352"/>
      <c r="P36" s="338"/>
      <c r="Q36" s="337" t="s">
        <v>1008</v>
      </c>
      <c r="R36" s="338"/>
      <c r="S36" s="352"/>
    </row>
    <row r="37" spans="1:19" s="326" customFormat="1" ht="24.75" customHeight="1">
      <c r="A37" s="503"/>
      <c r="B37" s="504"/>
      <c r="C37" s="505"/>
      <c r="D37" s="506"/>
      <c r="E37" s="506"/>
      <c r="F37" s="506"/>
      <c r="G37" s="506"/>
      <c r="H37" s="507"/>
      <c r="I37" s="506"/>
      <c r="J37" s="506"/>
      <c r="K37" s="506"/>
      <c r="L37" s="506"/>
      <c r="M37" s="508"/>
      <c r="N37" s="504"/>
      <c r="O37" s="509"/>
      <c r="P37" s="504"/>
      <c r="Q37" s="510"/>
      <c r="R37" s="504"/>
      <c r="S37" s="509"/>
    </row>
    <row r="38" spans="1:19" ht="24.75" customHeight="1">
      <c r="A38" s="317">
        <v>44</v>
      </c>
      <c r="B38" s="338" t="s">
        <v>1068</v>
      </c>
      <c r="C38" s="344" t="s">
        <v>771</v>
      </c>
      <c r="D38" s="468">
        <v>105.6</v>
      </c>
      <c r="E38" s="468">
        <v>108</v>
      </c>
      <c r="F38" s="468">
        <v>107.5</v>
      </c>
      <c r="G38" s="468">
        <v>19.2</v>
      </c>
      <c r="H38" s="340" t="s">
        <v>771</v>
      </c>
      <c r="I38" s="468">
        <v>205.8</v>
      </c>
      <c r="J38" s="468">
        <v>37.8</v>
      </c>
      <c r="K38" s="468">
        <v>45.5</v>
      </c>
      <c r="L38" s="468">
        <v>23.1</v>
      </c>
      <c r="M38" s="351"/>
      <c r="N38" s="344"/>
      <c r="O38" s="352"/>
      <c r="P38" s="344"/>
      <c r="Q38" s="340" t="s">
        <v>1009</v>
      </c>
      <c r="R38" s="344"/>
      <c r="S38" s="352"/>
    </row>
    <row r="39" spans="1:24" ht="24.75" customHeight="1">
      <c r="A39" s="317">
        <v>45</v>
      </c>
      <c r="B39" s="344" t="s">
        <v>1069</v>
      </c>
      <c r="C39" s="344" t="s">
        <v>771</v>
      </c>
      <c r="D39" s="469">
        <v>106</v>
      </c>
      <c r="E39" s="469">
        <v>108</v>
      </c>
      <c r="F39" s="469">
        <v>108</v>
      </c>
      <c r="G39" s="470">
        <v>19</v>
      </c>
      <c r="H39" s="340" t="s">
        <v>771</v>
      </c>
      <c r="I39" s="470">
        <v>206</v>
      </c>
      <c r="J39" s="470">
        <v>38</v>
      </c>
      <c r="K39" s="470">
        <v>46</v>
      </c>
      <c r="L39" s="470">
        <v>23</v>
      </c>
      <c r="M39" s="351"/>
      <c r="N39" s="338"/>
      <c r="O39" s="352"/>
      <c r="P39" s="338"/>
      <c r="Q39" s="340" t="s">
        <v>1009</v>
      </c>
      <c r="R39" s="338"/>
      <c r="S39" s="352"/>
      <c r="T39" s="51"/>
      <c r="U39" s="51"/>
      <c r="V39" s="51"/>
      <c r="W39" s="51"/>
      <c r="X39" s="51"/>
    </row>
    <row r="40" spans="1:24" s="76" customFormat="1" ht="24.75" customHeight="1">
      <c r="A40" s="402">
        <v>46</v>
      </c>
      <c r="B40" s="413"/>
      <c r="C40" s="413"/>
      <c r="D40" s="481"/>
      <c r="E40" s="481"/>
      <c r="F40" s="481"/>
      <c r="G40" s="479"/>
      <c r="H40" s="407"/>
      <c r="I40" s="479"/>
      <c r="J40" s="479"/>
      <c r="K40" s="479"/>
      <c r="L40" s="479"/>
      <c r="M40" s="406"/>
      <c r="N40" s="404"/>
      <c r="O40" s="405"/>
      <c r="P40" s="404"/>
      <c r="Q40" s="407"/>
      <c r="R40" s="404"/>
      <c r="S40" s="405"/>
      <c r="T40" s="51"/>
      <c r="U40" s="51"/>
      <c r="V40" s="51"/>
      <c r="W40" s="51"/>
      <c r="X40" s="51"/>
    </row>
    <row r="41" spans="1:24" ht="24.75" customHeight="1">
      <c r="A41" s="317">
        <v>47</v>
      </c>
      <c r="B41" s="338" t="s">
        <v>1069</v>
      </c>
      <c r="C41" s="344" t="s">
        <v>591</v>
      </c>
      <c r="D41" s="468">
        <v>216.588125</v>
      </c>
      <c r="E41" s="468">
        <v>35.568</v>
      </c>
      <c r="F41" s="468">
        <v>50.0175</v>
      </c>
      <c r="G41" s="468">
        <v>2.77875</v>
      </c>
      <c r="H41" s="340" t="s">
        <v>591</v>
      </c>
      <c r="I41" s="468">
        <v>227.24</v>
      </c>
      <c r="J41" s="468">
        <v>0</v>
      </c>
      <c r="K41" s="468">
        <v>0</v>
      </c>
      <c r="L41" s="468">
        <v>0</v>
      </c>
      <c r="M41" s="351"/>
      <c r="N41" s="337" t="s">
        <v>978</v>
      </c>
      <c r="O41" s="351" t="s">
        <v>986</v>
      </c>
      <c r="P41" s="338"/>
      <c r="Q41" s="340" t="s">
        <v>1010</v>
      </c>
      <c r="R41" s="338"/>
      <c r="S41" s="352"/>
      <c r="T41" s="51"/>
      <c r="U41" s="51"/>
      <c r="V41" s="51"/>
      <c r="W41" s="51"/>
      <c r="X41" s="51"/>
    </row>
    <row r="42" spans="1:24" s="76" customFormat="1" ht="24.75" customHeight="1">
      <c r="A42" s="402">
        <v>49</v>
      </c>
      <c r="B42" s="404"/>
      <c r="C42" s="413"/>
      <c r="D42" s="482"/>
      <c r="E42" s="482"/>
      <c r="F42" s="482"/>
      <c r="G42" s="479"/>
      <c r="H42" s="407"/>
      <c r="I42" s="479"/>
      <c r="J42" s="479"/>
      <c r="K42" s="479"/>
      <c r="L42" s="479"/>
      <c r="M42" s="406"/>
      <c r="N42" s="403"/>
      <c r="O42" s="406"/>
      <c r="P42" s="404"/>
      <c r="Q42" s="407"/>
      <c r="R42" s="404"/>
      <c r="S42" s="405"/>
      <c r="T42" s="51"/>
      <c r="U42" s="51"/>
      <c r="V42" s="51"/>
      <c r="W42" s="51"/>
      <c r="X42" s="51"/>
    </row>
    <row r="43" spans="1:24" ht="24.75" customHeight="1">
      <c r="A43" s="317">
        <v>50</v>
      </c>
      <c r="B43" s="338" t="s">
        <v>1068</v>
      </c>
      <c r="C43" s="344" t="s">
        <v>591</v>
      </c>
      <c r="D43" s="468">
        <v>197.04425000000003</v>
      </c>
      <c r="E43" s="468">
        <v>39.52</v>
      </c>
      <c r="F43" s="468">
        <v>127.205</v>
      </c>
      <c r="G43" s="468">
        <v>3.0875</v>
      </c>
      <c r="H43" s="340" t="s">
        <v>591</v>
      </c>
      <c r="I43" s="468">
        <v>237.86100000000002</v>
      </c>
      <c r="J43" s="468">
        <v>20.748</v>
      </c>
      <c r="K43" s="468">
        <v>59.28</v>
      </c>
      <c r="L43" s="468">
        <v>19.266</v>
      </c>
      <c r="M43" s="351"/>
      <c r="N43" s="338"/>
      <c r="O43" s="352"/>
      <c r="P43" s="338"/>
      <c r="Q43" s="340" t="s">
        <v>1011</v>
      </c>
      <c r="R43" s="337"/>
      <c r="S43" s="351"/>
      <c r="T43" s="51"/>
      <c r="U43" s="51"/>
      <c r="V43" s="51"/>
      <c r="W43" s="51"/>
      <c r="X43" s="51"/>
    </row>
    <row r="44" spans="1:24" ht="24.75" customHeight="1">
      <c r="A44" s="317">
        <v>51</v>
      </c>
      <c r="B44" s="338" t="s">
        <v>1069</v>
      </c>
      <c r="C44" s="344" t="s">
        <v>591</v>
      </c>
      <c r="D44" s="468">
        <v>200</v>
      </c>
      <c r="E44" s="468">
        <v>40</v>
      </c>
      <c r="F44" s="468">
        <v>80</v>
      </c>
      <c r="G44" s="468">
        <v>18</v>
      </c>
      <c r="H44" s="344" t="s">
        <v>771</v>
      </c>
      <c r="I44" s="469">
        <v>250</v>
      </c>
      <c r="J44" s="469">
        <v>40</v>
      </c>
      <c r="K44" s="469">
        <v>80</v>
      </c>
      <c r="L44" s="469">
        <v>18</v>
      </c>
      <c r="M44" s="352"/>
      <c r="N44" s="338"/>
      <c r="O44" s="352"/>
      <c r="P44" s="338"/>
      <c r="Q44" s="339" t="s">
        <v>1012</v>
      </c>
      <c r="R44" s="338"/>
      <c r="S44" s="362" t="s">
        <v>1059</v>
      </c>
      <c r="T44" s="51"/>
      <c r="U44" s="51"/>
      <c r="V44" s="51"/>
      <c r="W44" s="51"/>
      <c r="X44" s="51"/>
    </row>
    <row r="45" spans="1:24" s="1" customFormat="1" ht="24.75" customHeight="1">
      <c r="A45" s="397" t="s">
        <v>800</v>
      </c>
      <c r="B45" s="399" t="s">
        <v>596</v>
      </c>
      <c r="C45" s="472"/>
      <c r="D45" s="484">
        <v>220</v>
      </c>
      <c r="E45" s="483"/>
      <c r="F45" s="483"/>
      <c r="G45" s="480"/>
      <c r="H45" s="472"/>
      <c r="I45" s="484">
        <v>220</v>
      </c>
      <c r="J45" s="480"/>
      <c r="K45" s="480"/>
      <c r="L45" s="480"/>
      <c r="M45" s="352"/>
      <c r="N45" s="338"/>
      <c r="O45" s="352"/>
      <c r="P45" s="338"/>
      <c r="Q45" s="339"/>
      <c r="R45" s="338"/>
      <c r="S45" s="362"/>
      <c r="T45" s="51"/>
      <c r="U45" s="51"/>
      <c r="V45" s="51"/>
      <c r="W45" s="51"/>
      <c r="X45" s="51"/>
    </row>
    <row r="46" spans="1:24" s="76" customFormat="1" ht="24.75" customHeight="1">
      <c r="A46" s="402" t="s">
        <v>801</v>
      </c>
      <c r="B46" s="404"/>
      <c r="C46" s="413"/>
      <c r="D46" s="482"/>
      <c r="E46" s="482"/>
      <c r="F46" s="482"/>
      <c r="G46" s="481"/>
      <c r="H46" s="413"/>
      <c r="I46" s="481"/>
      <c r="J46" s="481"/>
      <c r="K46" s="481"/>
      <c r="L46" s="481"/>
      <c r="M46" s="352"/>
      <c r="N46" s="338"/>
      <c r="O46" s="352"/>
      <c r="P46" s="338"/>
      <c r="Q46" s="339"/>
      <c r="R46" s="338"/>
      <c r="S46" s="362"/>
      <c r="T46" s="51"/>
      <c r="U46" s="51"/>
      <c r="V46" s="51"/>
      <c r="W46" s="51"/>
      <c r="X46" s="51"/>
    </row>
    <row r="47" spans="1:24" s="1" customFormat="1" ht="24.75" customHeight="1">
      <c r="A47" s="317">
        <v>53</v>
      </c>
      <c r="B47" s="338" t="s">
        <v>1069</v>
      </c>
      <c r="C47" s="344" t="s">
        <v>591</v>
      </c>
      <c r="D47" s="468">
        <v>202.1525</v>
      </c>
      <c r="E47" s="468">
        <v>34.827</v>
      </c>
      <c r="F47" s="468">
        <v>98.1825</v>
      </c>
      <c r="G47" s="468">
        <v>2.964</v>
      </c>
      <c r="H47" s="344" t="s">
        <v>591</v>
      </c>
      <c r="I47" s="468">
        <v>340.86</v>
      </c>
      <c r="J47" s="468">
        <v>0</v>
      </c>
      <c r="K47" s="468">
        <v>0</v>
      </c>
      <c r="L47" s="468">
        <v>0</v>
      </c>
      <c r="M47" s="352"/>
      <c r="N47" s="338"/>
      <c r="O47" s="352"/>
      <c r="P47" s="338"/>
      <c r="Q47" s="339"/>
      <c r="R47" s="338"/>
      <c r="S47" s="362"/>
      <c r="T47" s="51"/>
      <c r="U47" s="51"/>
      <c r="V47" s="51"/>
      <c r="W47" s="51"/>
      <c r="X47" s="51"/>
    </row>
    <row r="48" spans="1:24" ht="24.75" customHeight="1">
      <c r="A48" s="317">
        <v>54</v>
      </c>
      <c r="B48" s="338" t="s">
        <v>1068</v>
      </c>
      <c r="C48" s="344" t="s">
        <v>591</v>
      </c>
      <c r="D48" s="468">
        <v>199.065</v>
      </c>
      <c r="E48" s="468">
        <v>8.892</v>
      </c>
      <c r="F48" s="468">
        <v>50.635</v>
      </c>
      <c r="G48" s="468">
        <v>24.947000000000003</v>
      </c>
      <c r="H48" s="340" t="s">
        <v>591</v>
      </c>
      <c r="I48" s="468">
        <v>227.24</v>
      </c>
      <c r="J48" s="468">
        <v>0</v>
      </c>
      <c r="K48" s="468">
        <v>0</v>
      </c>
      <c r="L48" s="468">
        <v>0</v>
      </c>
      <c r="M48" s="351"/>
      <c r="N48" s="338"/>
      <c r="O48" s="352"/>
      <c r="P48" s="338"/>
      <c r="Q48" s="340" t="s">
        <v>1013</v>
      </c>
      <c r="R48" s="338"/>
      <c r="S48" s="352"/>
      <c r="T48" s="51"/>
      <c r="U48" s="51"/>
      <c r="V48" s="51"/>
      <c r="W48" s="51"/>
      <c r="X48" s="51"/>
    </row>
    <row r="49" spans="1:24" ht="24.75" customHeight="1">
      <c r="A49" s="317">
        <v>59</v>
      </c>
      <c r="B49" s="338" t="s">
        <v>1069</v>
      </c>
      <c r="C49" s="344" t="s">
        <v>591</v>
      </c>
      <c r="D49" s="468">
        <v>193.7715</v>
      </c>
      <c r="E49" s="468">
        <v>13.338</v>
      </c>
      <c r="F49" s="468">
        <v>75.9525</v>
      </c>
      <c r="G49" s="468">
        <v>55.2045</v>
      </c>
      <c r="H49" s="358" t="s">
        <v>591</v>
      </c>
      <c r="I49" s="468">
        <v>201.55200000000002</v>
      </c>
      <c r="J49" s="468">
        <v>0</v>
      </c>
      <c r="K49" s="468">
        <v>0</v>
      </c>
      <c r="L49" s="468">
        <v>23.712000000000003</v>
      </c>
      <c r="M49" s="362"/>
      <c r="N49" s="338"/>
      <c r="O49" s="352"/>
      <c r="P49" s="338"/>
      <c r="Q49" s="337" t="s">
        <v>1014</v>
      </c>
      <c r="R49" s="338"/>
      <c r="S49" s="351" t="s">
        <v>1060</v>
      </c>
      <c r="T49" s="51"/>
      <c r="U49" s="51"/>
      <c r="V49" s="51"/>
      <c r="W49" s="51"/>
      <c r="X49" s="51"/>
    </row>
    <row r="50" spans="1:24" ht="24.75" customHeight="1">
      <c r="A50" s="317">
        <v>61</v>
      </c>
      <c r="B50" s="338" t="s">
        <v>1068</v>
      </c>
      <c r="C50" s="344" t="s">
        <v>351</v>
      </c>
      <c r="D50" s="475">
        <v>140</v>
      </c>
      <c r="E50" s="475">
        <v>30</v>
      </c>
      <c r="F50" s="475">
        <v>30</v>
      </c>
      <c r="G50" s="470">
        <v>30</v>
      </c>
      <c r="H50" s="340" t="s">
        <v>351</v>
      </c>
      <c r="I50" s="470">
        <v>180</v>
      </c>
      <c r="J50" s="470">
        <v>50</v>
      </c>
      <c r="K50" s="470">
        <v>50</v>
      </c>
      <c r="L50" s="470">
        <v>50</v>
      </c>
      <c r="M50" s="351"/>
      <c r="N50" s="338"/>
      <c r="O50" s="352"/>
      <c r="P50" s="338"/>
      <c r="Q50" s="340" t="s">
        <v>1015</v>
      </c>
      <c r="R50" s="338"/>
      <c r="S50" s="352"/>
      <c r="T50" s="51"/>
      <c r="U50" s="51"/>
      <c r="V50" s="51"/>
      <c r="W50" s="51"/>
      <c r="X50" s="51"/>
    </row>
    <row r="51" spans="1:19" ht="24.75" customHeight="1">
      <c r="A51" s="317" t="s">
        <v>802</v>
      </c>
      <c r="B51" s="338" t="s">
        <v>1069</v>
      </c>
      <c r="C51" s="344" t="s">
        <v>591</v>
      </c>
      <c r="D51" s="468">
        <v>183.82125</v>
      </c>
      <c r="E51" s="468">
        <v>46.3125</v>
      </c>
      <c r="F51" s="468">
        <v>38.59375</v>
      </c>
      <c r="G51" s="468">
        <v>3.705</v>
      </c>
      <c r="H51" s="340" t="s">
        <v>591</v>
      </c>
      <c r="I51" s="468">
        <v>170.66</v>
      </c>
      <c r="J51" s="468">
        <v>0</v>
      </c>
      <c r="K51" s="468">
        <v>0</v>
      </c>
      <c r="L51" s="468">
        <v>0</v>
      </c>
      <c r="M51" s="351"/>
      <c r="N51" s="337" t="s">
        <v>979</v>
      </c>
      <c r="O51" s="351" t="s">
        <v>987</v>
      </c>
      <c r="P51" s="338"/>
      <c r="Q51" s="337" t="s">
        <v>1016</v>
      </c>
      <c r="R51" s="337"/>
      <c r="S51" s="351"/>
    </row>
    <row r="52" spans="1:19" ht="24.75" customHeight="1">
      <c r="A52" s="317" t="s">
        <v>803</v>
      </c>
      <c r="B52" s="338" t="s">
        <v>597</v>
      </c>
      <c r="C52" s="344" t="s">
        <v>591</v>
      </c>
      <c r="D52" s="475">
        <f>D51</f>
        <v>183.82125</v>
      </c>
      <c r="E52" s="475">
        <f aca="true" t="shared" si="0" ref="E52:L52">E51</f>
        <v>46.3125</v>
      </c>
      <c r="F52" s="475">
        <f t="shared" si="0"/>
        <v>38.59375</v>
      </c>
      <c r="G52" s="475">
        <f t="shared" si="0"/>
        <v>3.705</v>
      </c>
      <c r="H52" s="475" t="str">
        <f t="shared" si="0"/>
        <v>bags</v>
      </c>
      <c r="I52" s="475">
        <f t="shared" si="0"/>
        <v>170.66</v>
      </c>
      <c r="J52" s="475">
        <f t="shared" si="0"/>
        <v>0</v>
      </c>
      <c r="K52" s="475">
        <f t="shared" si="0"/>
        <v>0</v>
      </c>
      <c r="L52" s="475">
        <f t="shared" si="0"/>
        <v>0</v>
      </c>
      <c r="M52" s="351"/>
      <c r="N52" s="337" t="s">
        <v>979</v>
      </c>
      <c r="O52" s="352"/>
      <c r="P52" s="338"/>
      <c r="Q52" s="337" t="s">
        <v>1016</v>
      </c>
      <c r="R52" s="338"/>
      <c r="S52" s="352"/>
    </row>
    <row r="53" spans="1:19" ht="24.75" customHeight="1">
      <c r="A53" s="320">
        <v>64</v>
      </c>
      <c r="B53" s="573" t="s">
        <v>598</v>
      </c>
      <c r="C53" s="574"/>
      <c r="D53" s="575"/>
      <c r="E53" s="575"/>
      <c r="F53" s="575"/>
      <c r="G53" s="575"/>
      <c r="H53" s="571"/>
      <c r="I53" s="484"/>
      <c r="J53" s="575"/>
      <c r="K53" s="575"/>
      <c r="L53" s="575"/>
      <c r="M53" s="354"/>
      <c r="N53" s="342"/>
      <c r="O53" s="354"/>
      <c r="P53" s="342"/>
      <c r="Q53" s="376"/>
      <c r="R53" s="376"/>
      <c r="S53" s="354"/>
    </row>
    <row r="54" spans="1:19" ht="24.75" customHeight="1">
      <c r="A54" s="317">
        <v>66</v>
      </c>
      <c r="B54" s="338" t="s">
        <v>1068</v>
      </c>
      <c r="C54" s="344" t="s">
        <v>591</v>
      </c>
      <c r="D54" s="468">
        <v>142.025</v>
      </c>
      <c r="E54" s="468">
        <v>7.904000000000001</v>
      </c>
      <c r="F54" s="468">
        <v>51.376000000000005</v>
      </c>
      <c r="G54" s="468">
        <v>25.935</v>
      </c>
      <c r="H54" s="358" t="s">
        <v>591</v>
      </c>
      <c r="I54" s="468">
        <v>227.24</v>
      </c>
      <c r="J54" s="468">
        <v>0</v>
      </c>
      <c r="K54" s="468">
        <v>0</v>
      </c>
      <c r="L54" s="468">
        <v>0</v>
      </c>
      <c r="M54" s="362"/>
      <c r="N54" s="338"/>
      <c r="O54" s="352"/>
      <c r="P54" s="338"/>
      <c r="Q54" s="339" t="s">
        <v>1017</v>
      </c>
      <c r="R54" s="338"/>
      <c r="S54" s="352"/>
    </row>
    <row r="55" spans="1:19" ht="24.75" customHeight="1">
      <c r="A55" s="317">
        <v>69</v>
      </c>
      <c r="B55" s="338" t="s">
        <v>1068</v>
      </c>
      <c r="C55" s="474" t="s">
        <v>591</v>
      </c>
      <c r="D55" s="468">
        <v>265.21625</v>
      </c>
      <c r="E55" s="468">
        <v>86.0795</v>
      </c>
      <c r="F55" s="468">
        <v>44.15125</v>
      </c>
      <c r="G55" s="468">
        <v>4.94</v>
      </c>
      <c r="H55" s="340" t="s">
        <v>591</v>
      </c>
      <c r="I55" s="468">
        <v>220.75625</v>
      </c>
      <c r="J55" s="468">
        <v>36.6795</v>
      </c>
      <c r="K55" s="468">
        <v>44.15125</v>
      </c>
      <c r="L55" s="468">
        <v>0</v>
      </c>
      <c r="M55" s="351"/>
      <c r="N55" s="338"/>
      <c r="O55" s="352"/>
      <c r="P55" s="338"/>
      <c r="Q55" s="340" t="s">
        <v>1018</v>
      </c>
      <c r="R55" s="338"/>
      <c r="S55" s="352"/>
    </row>
    <row r="56" spans="1:19" s="1" customFormat="1" ht="24.75" customHeight="1">
      <c r="A56" s="317" t="s">
        <v>804</v>
      </c>
      <c r="B56" s="809" t="s">
        <v>599</v>
      </c>
      <c r="C56" s="474" t="s">
        <v>771</v>
      </c>
      <c r="D56" s="468">
        <v>239.46</v>
      </c>
      <c r="E56" s="468">
        <v>81.8</v>
      </c>
      <c r="F56" s="468">
        <v>39</v>
      </c>
      <c r="G56" s="468">
        <v>4.94</v>
      </c>
      <c r="H56" s="340" t="s">
        <v>771</v>
      </c>
      <c r="I56" s="468">
        <v>205.8</v>
      </c>
      <c r="J56" s="468">
        <v>37.8</v>
      </c>
      <c r="K56" s="468">
        <v>45.5</v>
      </c>
      <c r="L56" s="468">
        <v>23.1</v>
      </c>
      <c r="M56" s="351"/>
      <c r="N56" s="338"/>
      <c r="O56" s="352"/>
      <c r="P56" s="338"/>
      <c r="Q56" s="340" t="s">
        <v>1019</v>
      </c>
      <c r="R56" s="338"/>
      <c r="S56" s="351" t="s">
        <v>1061</v>
      </c>
    </row>
    <row r="57" spans="1:19" s="1" customFormat="1" ht="24.75" customHeight="1">
      <c r="A57" s="317" t="s">
        <v>805</v>
      </c>
      <c r="B57" s="809"/>
      <c r="C57" s="474" t="s">
        <v>771</v>
      </c>
      <c r="D57" s="468">
        <f>D56</f>
        <v>239.46</v>
      </c>
      <c r="E57" s="468">
        <f>E56</f>
        <v>81.8</v>
      </c>
      <c r="F57" s="468">
        <f>F56</f>
        <v>39</v>
      </c>
      <c r="G57" s="468">
        <f>G56</f>
        <v>4.94</v>
      </c>
      <c r="H57" s="340" t="s">
        <v>771</v>
      </c>
      <c r="I57" s="468">
        <f>I56</f>
        <v>205.8</v>
      </c>
      <c r="J57" s="468">
        <f>J56</f>
        <v>37.8</v>
      </c>
      <c r="K57" s="468">
        <f>K56</f>
        <v>45.5</v>
      </c>
      <c r="L57" s="468">
        <f>L56</f>
        <v>23.1</v>
      </c>
      <c r="M57" s="351"/>
      <c r="N57" s="338"/>
      <c r="O57" s="352"/>
      <c r="P57" s="338"/>
      <c r="Q57" s="340" t="s">
        <v>1019</v>
      </c>
      <c r="R57" s="338"/>
      <c r="S57" s="351" t="s">
        <v>1061</v>
      </c>
    </row>
    <row r="58" spans="1:19" s="1" customFormat="1" ht="24.75" customHeight="1">
      <c r="A58" s="317">
        <v>71</v>
      </c>
      <c r="B58" s="809"/>
      <c r="C58" s="344" t="s">
        <v>771</v>
      </c>
      <c r="D58" s="468">
        <f>D56</f>
        <v>239.46</v>
      </c>
      <c r="E58" s="468">
        <f>E56</f>
        <v>81.8</v>
      </c>
      <c r="F58" s="468">
        <f>F56</f>
        <v>39</v>
      </c>
      <c r="G58" s="468">
        <f>G56</f>
        <v>4.94</v>
      </c>
      <c r="H58" s="340" t="s">
        <v>771</v>
      </c>
      <c r="I58" s="468">
        <f>I56</f>
        <v>205.8</v>
      </c>
      <c r="J58" s="468">
        <f>J56</f>
        <v>37.8</v>
      </c>
      <c r="K58" s="468">
        <f>K56</f>
        <v>45.5</v>
      </c>
      <c r="L58" s="468">
        <f>L56</f>
        <v>23.1</v>
      </c>
      <c r="M58" s="351"/>
      <c r="N58" s="338"/>
      <c r="O58" s="352"/>
      <c r="P58" s="338"/>
      <c r="Q58" s="340"/>
      <c r="R58" s="338"/>
      <c r="S58" s="351"/>
    </row>
    <row r="59" spans="1:19" ht="24.75" customHeight="1">
      <c r="A59" s="317">
        <v>72</v>
      </c>
      <c r="B59" s="338" t="s">
        <v>1068</v>
      </c>
      <c r="C59" s="344" t="s">
        <v>591</v>
      </c>
      <c r="D59" s="468">
        <v>308.50300000000004</v>
      </c>
      <c r="E59" s="468">
        <v>15.931499999999998</v>
      </c>
      <c r="F59" s="468">
        <v>48.165</v>
      </c>
      <c r="G59" s="468">
        <v>59.28</v>
      </c>
      <c r="H59" s="340" t="s">
        <v>591</v>
      </c>
      <c r="I59" s="468">
        <v>198.2175</v>
      </c>
      <c r="J59" s="468">
        <v>17.29</v>
      </c>
      <c r="K59" s="468">
        <v>49.4</v>
      </c>
      <c r="L59" s="468">
        <v>16.055</v>
      </c>
      <c r="M59" s="351"/>
      <c r="N59" s="337" t="s">
        <v>980</v>
      </c>
      <c r="O59" s="352"/>
      <c r="P59" s="338"/>
      <c r="Q59" s="340" t="s">
        <v>1020</v>
      </c>
      <c r="R59" s="337"/>
      <c r="S59" s="351"/>
    </row>
    <row r="60" spans="1:19" ht="24.75" customHeight="1">
      <c r="A60" s="317">
        <v>73</v>
      </c>
      <c r="B60" s="338" t="s">
        <v>1068</v>
      </c>
      <c r="C60" s="474" t="s">
        <v>771</v>
      </c>
      <c r="D60" s="468">
        <v>131.25</v>
      </c>
      <c r="E60" s="468">
        <v>9</v>
      </c>
      <c r="F60" s="468">
        <v>51.25</v>
      </c>
      <c r="G60" s="468">
        <v>145.25</v>
      </c>
      <c r="H60" s="340" t="s">
        <v>771</v>
      </c>
      <c r="I60" s="468">
        <v>102.5</v>
      </c>
      <c r="J60" s="468">
        <v>0</v>
      </c>
      <c r="K60" s="468">
        <v>0</v>
      </c>
      <c r="L60" s="468">
        <v>120</v>
      </c>
      <c r="M60" s="351"/>
      <c r="N60" s="338"/>
      <c r="O60" s="352"/>
      <c r="P60" s="338"/>
      <c r="Q60" s="340" t="s">
        <v>1021</v>
      </c>
      <c r="R60" s="338"/>
      <c r="S60" s="352"/>
    </row>
    <row r="61" spans="1:19" ht="24.75" customHeight="1">
      <c r="A61" s="317">
        <v>74</v>
      </c>
      <c r="B61" s="338" t="s">
        <v>1069</v>
      </c>
      <c r="C61" s="474" t="s">
        <v>591</v>
      </c>
      <c r="D61" s="468">
        <v>138.814</v>
      </c>
      <c r="E61" s="468">
        <v>7.41</v>
      </c>
      <c r="F61" s="468">
        <v>27.17</v>
      </c>
      <c r="G61" s="468">
        <v>49.894</v>
      </c>
      <c r="H61" s="340" t="s">
        <v>591</v>
      </c>
      <c r="I61" s="468">
        <v>227.24</v>
      </c>
      <c r="J61" s="468">
        <v>0</v>
      </c>
      <c r="K61" s="468">
        <v>0</v>
      </c>
      <c r="L61" s="468">
        <v>0</v>
      </c>
      <c r="M61" s="355"/>
      <c r="N61" s="337" t="s">
        <v>981</v>
      </c>
      <c r="O61" s="351" t="s">
        <v>847</v>
      </c>
      <c r="P61" s="338"/>
      <c r="Q61" s="337" t="s">
        <v>1020</v>
      </c>
      <c r="R61" s="338"/>
      <c r="S61" s="352"/>
    </row>
    <row r="62" spans="1:19" ht="24.75" customHeight="1">
      <c r="A62" s="317">
        <v>76</v>
      </c>
      <c r="B62" s="341" t="s">
        <v>1069</v>
      </c>
      <c r="C62" s="474" t="s">
        <v>591</v>
      </c>
      <c r="D62" s="468">
        <v>64.8375</v>
      </c>
      <c r="E62" s="468">
        <v>4.446000000000001</v>
      </c>
      <c r="F62" s="468">
        <v>25.3175</v>
      </c>
      <c r="G62" s="468">
        <v>71.7535</v>
      </c>
      <c r="H62" s="476" t="s">
        <v>591</v>
      </c>
      <c r="I62" s="468">
        <v>175.37</v>
      </c>
      <c r="J62" s="468">
        <v>0</v>
      </c>
      <c r="K62" s="468">
        <v>39.52</v>
      </c>
      <c r="L62" s="468">
        <v>14.326000000000002</v>
      </c>
      <c r="M62" s="364"/>
      <c r="N62" s="360" t="s">
        <v>982</v>
      </c>
      <c r="O62" s="374"/>
      <c r="P62" s="341"/>
      <c r="Q62" s="377" t="s">
        <v>1022</v>
      </c>
      <c r="R62" s="341"/>
      <c r="S62" s="381" t="s">
        <v>1062</v>
      </c>
    </row>
    <row r="63" spans="1:19" ht="24.75" customHeight="1">
      <c r="A63" s="317">
        <v>77</v>
      </c>
      <c r="B63" s="338" t="s">
        <v>1068</v>
      </c>
      <c r="C63" s="344" t="s">
        <v>591</v>
      </c>
      <c r="D63" s="468">
        <v>198.835</v>
      </c>
      <c r="E63" s="468">
        <v>8.892</v>
      </c>
      <c r="F63" s="468">
        <v>50.635</v>
      </c>
      <c r="G63" s="468">
        <v>24.947000000000003</v>
      </c>
      <c r="H63" s="340" t="s">
        <v>591</v>
      </c>
      <c r="I63" s="468">
        <v>227.24</v>
      </c>
      <c r="J63" s="468">
        <v>0</v>
      </c>
      <c r="K63" s="468">
        <v>0</v>
      </c>
      <c r="L63" s="468">
        <v>0</v>
      </c>
      <c r="M63" s="351"/>
      <c r="N63" s="337" t="s">
        <v>983</v>
      </c>
      <c r="O63" s="351" t="s">
        <v>983</v>
      </c>
      <c r="P63" s="338"/>
      <c r="Q63" s="377" t="s">
        <v>1023</v>
      </c>
      <c r="R63" s="338"/>
      <c r="S63" s="352"/>
    </row>
    <row r="64" spans="1:19" s="76" customFormat="1" ht="24.75" customHeight="1">
      <c r="A64" s="402">
        <v>78</v>
      </c>
      <c r="B64" s="404"/>
      <c r="C64" s="413"/>
      <c r="D64" s="481"/>
      <c r="E64" s="481"/>
      <c r="F64" s="481"/>
      <c r="G64" s="479"/>
      <c r="H64" s="407"/>
      <c r="I64" s="479"/>
      <c r="J64" s="479"/>
      <c r="K64" s="479"/>
      <c r="L64" s="479"/>
      <c r="M64" s="406"/>
      <c r="N64" s="403"/>
      <c r="O64" s="406"/>
      <c r="P64" s="404"/>
      <c r="Q64" s="409"/>
      <c r="R64" s="404"/>
      <c r="S64" s="405"/>
    </row>
    <row r="65" spans="1:19" ht="24.75" customHeight="1">
      <c r="A65" s="319" t="s">
        <v>817</v>
      </c>
      <c r="B65" s="342" t="s">
        <v>1069</v>
      </c>
      <c r="C65" s="465" t="s">
        <v>591</v>
      </c>
      <c r="D65" s="468">
        <v>227.24</v>
      </c>
      <c r="E65" s="468">
        <v>0</v>
      </c>
      <c r="F65" s="468">
        <v>0</v>
      </c>
      <c r="G65" s="468">
        <v>0</v>
      </c>
      <c r="H65" s="465" t="s">
        <v>591</v>
      </c>
      <c r="I65" s="468">
        <v>251.94</v>
      </c>
      <c r="J65" s="468">
        <v>0</v>
      </c>
      <c r="K65" s="468">
        <v>0</v>
      </c>
      <c r="L65" s="468">
        <v>29.64</v>
      </c>
      <c r="M65" s="354"/>
      <c r="N65" s="342"/>
      <c r="O65" s="354"/>
      <c r="P65" s="342"/>
      <c r="Q65" s="368" t="s">
        <v>1030</v>
      </c>
      <c r="R65" s="342"/>
      <c r="S65" s="376"/>
    </row>
    <row r="66" spans="1:19" ht="24.75" customHeight="1">
      <c r="A66" s="319" t="s">
        <v>818</v>
      </c>
      <c r="B66" s="342" t="s">
        <v>1069</v>
      </c>
      <c r="C66" s="465" t="str">
        <f>C65</f>
        <v>bags</v>
      </c>
      <c r="D66" s="471">
        <f aca="true" t="shared" si="1" ref="D66:L66">D65</f>
        <v>227.24</v>
      </c>
      <c r="E66" s="471">
        <f t="shared" si="1"/>
        <v>0</v>
      </c>
      <c r="F66" s="471">
        <f t="shared" si="1"/>
        <v>0</v>
      </c>
      <c r="G66" s="471">
        <f t="shared" si="1"/>
        <v>0</v>
      </c>
      <c r="H66" s="465" t="str">
        <f t="shared" si="1"/>
        <v>bags</v>
      </c>
      <c r="I66" s="471">
        <f t="shared" si="1"/>
        <v>251.94</v>
      </c>
      <c r="J66" s="471">
        <f t="shared" si="1"/>
        <v>0</v>
      </c>
      <c r="K66" s="471">
        <f t="shared" si="1"/>
        <v>0</v>
      </c>
      <c r="L66" s="471">
        <f t="shared" si="1"/>
        <v>29.64</v>
      </c>
      <c r="M66" s="354"/>
      <c r="N66" s="342"/>
      <c r="O66" s="354"/>
      <c r="P66" s="342"/>
      <c r="Q66" s="368" t="s">
        <v>1030</v>
      </c>
      <c r="R66" s="342"/>
      <c r="S66" s="354"/>
    </row>
    <row r="67" spans="1:19" ht="24.75" customHeight="1">
      <c r="A67" s="317">
        <v>82</v>
      </c>
      <c r="B67" s="338" t="s">
        <v>1069</v>
      </c>
      <c r="C67" s="344" t="s">
        <v>351</v>
      </c>
      <c r="D67" s="469">
        <v>150</v>
      </c>
      <c r="E67" s="469">
        <v>0</v>
      </c>
      <c r="F67" s="469">
        <v>0</v>
      </c>
      <c r="G67" s="470">
        <v>0</v>
      </c>
      <c r="H67" s="340" t="s">
        <v>351</v>
      </c>
      <c r="I67" s="470">
        <v>250</v>
      </c>
      <c r="J67" s="470">
        <v>0</v>
      </c>
      <c r="K67" s="470">
        <v>0</v>
      </c>
      <c r="L67" s="470">
        <v>0</v>
      </c>
      <c r="M67" s="351"/>
      <c r="N67" s="338"/>
      <c r="O67" s="352"/>
      <c r="P67" s="338"/>
      <c r="Q67" s="340" t="s">
        <v>1024</v>
      </c>
      <c r="R67" s="337"/>
      <c r="S67" s="351"/>
    </row>
    <row r="68" spans="1:19" ht="24.75" customHeight="1">
      <c r="A68" s="317" t="s">
        <v>806</v>
      </c>
      <c r="B68" s="338" t="s">
        <v>1068</v>
      </c>
      <c r="C68" s="344" t="s">
        <v>591</v>
      </c>
      <c r="D68" s="468">
        <v>142.025</v>
      </c>
      <c r="E68" s="468">
        <v>8.892</v>
      </c>
      <c r="F68" s="468">
        <v>50.635</v>
      </c>
      <c r="G68" s="468">
        <v>24.947000000000003</v>
      </c>
      <c r="H68" s="358" t="s">
        <v>591</v>
      </c>
      <c r="I68" s="468">
        <v>170.43</v>
      </c>
      <c r="J68" s="468">
        <v>0</v>
      </c>
      <c r="K68" s="468">
        <v>0</v>
      </c>
      <c r="L68" s="468">
        <v>0</v>
      </c>
      <c r="M68" s="362"/>
      <c r="N68" s="338"/>
      <c r="O68" s="352"/>
      <c r="P68" s="338"/>
      <c r="Q68" s="337" t="s">
        <v>1025</v>
      </c>
      <c r="R68" s="338"/>
      <c r="S68" s="351" t="s">
        <v>1063</v>
      </c>
    </row>
    <row r="69" spans="1:19" ht="24.75" customHeight="1">
      <c r="A69" s="317" t="s">
        <v>807</v>
      </c>
      <c r="B69" s="338" t="s">
        <v>1068</v>
      </c>
      <c r="C69" s="474" t="str">
        <f>C68</f>
        <v>bags</v>
      </c>
      <c r="D69" s="475">
        <f aca="true" t="shared" si="2" ref="D69:L69">D68</f>
        <v>142.025</v>
      </c>
      <c r="E69" s="475">
        <f t="shared" si="2"/>
        <v>8.892</v>
      </c>
      <c r="F69" s="475">
        <f t="shared" si="2"/>
        <v>50.635</v>
      </c>
      <c r="G69" s="475">
        <f t="shared" si="2"/>
        <v>24.947000000000003</v>
      </c>
      <c r="H69" s="474" t="str">
        <f t="shared" si="2"/>
        <v>bags</v>
      </c>
      <c r="I69" s="475">
        <f t="shared" si="2"/>
        <v>170.43</v>
      </c>
      <c r="J69" s="475">
        <f t="shared" si="2"/>
        <v>0</v>
      </c>
      <c r="K69" s="475">
        <f t="shared" si="2"/>
        <v>0</v>
      </c>
      <c r="L69" s="475">
        <f t="shared" si="2"/>
        <v>0</v>
      </c>
      <c r="M69" s="362"/>
      <c r="N69" s="338"/>
      <c r="O69" s="352"/>
      <c r="P69" s="338"/>
      <c r="Q69" s="337" t="s">
        <v>1026</v>
      </c>
      <c r="R69" s="338"/>
      <c r="S69" s="351" t="s">
        <v>1064</v>
      </c>
    </row>
    <row r="70" spans="1:19" ht="24.75" customHeight="1">
      <c r="A70" s="317">
        <v>87</v>
      </c>
      <c r="B70" s="338" t="s">
        <v>1068</v>
      </c>
      <c r="C70" s="474" t="s">
        <v>591</v>
      </c>
      <c r="D70" s="468">
        <v>142.025</v>
      </c>
      <c r="E70" s="468">
        <v>8.892</v>
      </c>
      <c r="F70" s="468">
        <v>50.635</v>
      </c>
      <c r="G70" s="468">
        <v>24.947000000000003</v>
      </c>
      <c r="H70" s="358" t="s">
        <v>771</v>
      </c>
      <c r="I70" s="468">
        <v>92.5</v>
      </c>
      <c r="J70" s="468">
        <v>0</v>
      </c>
      <c r="K70" s="468">
        <v>25</v>
      </c>
      <c r="L70" s="468">
        <v>0</v>
      </c>
      <c r="M70" s="351"/>
      <c r="N70" s="338"/>
      <c r="O70" s="352"/>
      <c r="P70" s="338"/>
      <c r="Q70" s="377" t="s">
        <v>1027</v>
      </c>
      <c r="R70" s="338"/>
      <c r="S70" s="352"/>
    </row>
    <row r="71" spans="1:19" s="1" customFormat="1" ht="24.75" customHeight="1">
      <c r="A71" s="317">
        <v>88</v>
      </c>
      <c r="B71" s="338" t="s">
        <v>1069</v>
      </c>
      <c r="C71" s="474" t="s">
        <v>591</v>
      </c>
      <c r="D71" s="468">
        <v>198.835</v>
      </c>
      <c r="E71" s="468">
        <v>8.892</v>
      </c>
      <c r="F71" s="468">
        <v>50.635</v>
      </c>
      <c r="G71" s="468">
        <v>24.947000000000003</v>
      </c>
      <c r="H71" s="358" t="s">
        <v>771</v>
      </c>
      <c r="I71" s="468">
        <v>220.1</v>
      </c>
      <c r="J71" s="468">
        <v>0</v>
      </c>
      <c r="K71" s="468">
        <v>49.6</v>
      </c>
      <c r="L71" s="468">
        <v>17.98</v>
      </c>
      <c r="M71" s="401"/>
      <c r="N71" s="399"/>
      <c r="O71" s="400"/>
      <c r="P71" s="399"/>
      <c r="Q71" s="410"/>
      <c r="R71" s="399"/>
      <c r="S71" s="400"/>
    </row>
    <row r="72" spans="1:19" ht="24.75" customHeight="1">
      <c r="A72" s="317">
        <v>89</v>
      </c>
      <c r="B72" s="338" t="s">
        <v>1068</v>
      </c>
      <c r="C72" s="344" t="s">
        <v>591</v>
      </c>
      <c r="D72" s="468">
        <v>212.91400000000002</v>
      </c>
      <c r="E72" s="468">
        <v>60.515</v>
      </c>
      <c r="F72" s="468">
        <v>77.1875</v>
      </c>
      <c r="G72" s="468">
        <v>31.245500000000003</v>
      </c>
      <c r="H72" s="340" t="s">
        <v>591</v>
      </c>
      <c r="I72" s="468">
        <v>226.93125</v>
      </c>
      <c r="J72" s="468">
        <v>41.68125</v>
      </c>
      <c r="K72" s="468">
        <v>50.171875</v>
      </c>
      <c r="L72" s="468">
        <v>25.471875</v>
      </c>
      <c r="M72" s="351"/>
      <c r="N72" s="338"/>
      <c r="O72" s="352"/>
      <c r="P72" s="338"/>
      <c r="Q72" s="340" t="s">
        <v>1028</v>
      </c>
      <c r="R72" s="337"/>
      <c r="S72" s="351"/>
    </row>
    <row r="73" spans="1:19" s="76" customFormat="1" ht="24.75" customHeight="1">
      <c r="A73" s="411">
        <v>90</v>
      </c>
      <c r="B73" s="404"/>
      <c r="C73" s="413"/>
      <c r="D73" s="481" t="s">
        <v>684</v>
      </c>
      <c r="E73" s="481"/>
      <c r="F73" s="481"/>
      <c r="G73" s="479"/>
      <c r="H73" s="407"/>
      <c r="I73" s="479"/>
      <c r="J73" s="479"/>
      <c r="K73" s="479"/>
      <c r="L73" s="479"/>
      <c r="M73" s="406"/>
      <c r="N73" s="404"/>
      <c r="O73" s="405"/>
      <c r="P73" s="404"/>
      <c r="Q73" s="407"/>
      <c r="R73" s="403"/>
      <c r="S73" s="406"/>
    </row>
    <row r="74" spans="1:19" s="76" customFormat="1" ht="24.75" customHeight="1">
      <c r="A74" s="402">
        <v>91</v>
      </c>
      <c r="B74" s="404"/>
      <c r="C74" s="413"/>
      <c r="D74" s="481"/>
      <c r="E74" s="481"/>
      <c r="F74" s="481"/>
      <c r="G74" s="479"/>
      <c r="H74" s="407"/>
      <c r="I74" s="479"/>
      <c r="J74" s="479"/>
      <c r="K74" s="479"/>
      <c r="L74" s="479"/>
      <c r="M74" s="406"/>
      <c r="N74" s="404"/>
      <c r="O74" s="405"/>
      <c r="P74" s="404"/>
      <c r="Q74" s="407"/>
      <c r="R74" s="403"/>
      <c r="S74" s="406"/>
    </row>
    <row r="75" spans="1:19" s="76" customFormat="1" ht="24.75" customHeight="1">
      <c r="A75" s="402">
        <v>92</v>
      </c>
      <c r="B75" s="404"/>
      <c r="C75" s="413"/>
      <c r="D75" s="481"/>
      <c r="E75" s="481"/>
      <c r="F75" s="481"/>
      <c r="G75" s="479"/>
      <c r="H75" s="407"/>
      <c r="I75" s="479"/>
      <c r="J75" s="479"/>
      <c r="K75" s="479"/>
      <c r="L75" s="479"/>
      <c r="M75" s="406"/>
      <c r="N75" s="404"/>
      <c r="O75" s="405"/>
      <c r="P75" s="404"/>
      <c r="Q75" s="407"/>
      <c r="R75" s="403"/>
      <c r="S75" s="406"/>
    </row>
    <row r="76" spans="1:19" s="76" customFormat="1" ht="24.75" customHeight="1">
      <c r="A76" s="402">
        <v>93</v>
      </c>
      <c r="B76" s="404"/>
      <c r="C76" s="413"/>
      <c r="D76" s="481"/>
      <c r="E76" s="481"/>
      <c r="F76" s="481"/>
      <c r="G76" s="479"/>
      <c r="H76" s="407"/>
      <c r="I76" s="479"/>
      <c r="J76" s="479"/>
      <c r="K76" s="479"/>
      <c r="L76" s="479"/>
      <c r="M76" s="406"/>
      <c r="N76" s="404"/>
      <c r="O76" s="405"/>
      <c r="P76" s="404"/>
      <c r="Q76" s="407"/>
      <c r="R76" s="403"/>
      <c r="S76" s="406"/>
    </row>
    <row r="77" spans="1:19" ht="24.75" customHeight="1">
      <c r="A77" s="317" t="s">
        <v>13</v>
      </c>
      <c r="B77" s="338" t="s">
        <v>1068</v>
      </c>
      <c r="C77" s="344" t="s">
        <v>591</v>
      </c>
      <c r="D77" s="468">
        <v>163.32875</v>
      </c>
      <c r="E77" s="468">
        <v>15.561000000000002</v>
      </c>
      <c r="F77" s="468">
        <v>88.61125</v>
      </c>
      <c r="G77" s="468">
        <v>43.65725000000001</v>
      </c>
      <c r="H77" s="340" t="s">
        <v>591</v>
      </c>
      <c r="I77" s="468">
        <v>243.17149999999998</v>
      </c>
      <c r="J77" s="468">
        <v>8.151</v>
      </c>
      <c r="K77" s="468">
        <v>47.5475</v>
      </c>
      <c r="L77" s="468">
        <v>13.585</v>
      </c>
      <c r="M77" s="351"/>
      <c r="N77" s="338"/>
      <c r="O77" s="352"/>
      <c r="P77" s="338"/>
      <c r="Q77" s="337"/>
      <c r="R77" s="337"/>
      <c r="S77" s="351"/>
    </row>
    <row r="78" spans="1:19" ht="24.75" customHeight="1">
      <c r="A78" s="317" t="s">
        <v>819</v>
      </c>
      <c r="B78" s="338" t="s">
        <v>1068</v>
      </c>
      <c r="C78" s="344" t="str">
        <f aca="true" t="shared" si="3" ref="C78:L78">C77</f>
        <v>bags</v>
      </c>
      <c r="D78" s="469">
        <f t="shared" si="3"/>
        <v>163.32875</v>
      </c>
      <c r="E78" s="469">
        <f t="shared" si="3"/>
        <v>15.561000000000002</v>
      </c>
      <c r="F78" s="469">
        <f t="shared" si="3"/>
        <v>88.61125</v>
      </c>
      <c r="G78" s="469">
        <f t="shared" si="3"/>
        <v>43.65725000000001</v>
      </c>
      <c r="H78" s="344" t="str">
        <f t="shared" si="3"/>
        <v>bags</v>
      </c>
      <c r="I78" s="469">
        <f t="shared" si="3"/>
        <v>243.17149999999998</v>
      </c>
      <c r="J78" s="469">
        <f t="shared" si="3"/>
        <v>8.151</v>
      </c>
      <c r="K78" s="469">
        <f t="shared" si="3"/>
        <v>47.5475</v>
      </c>
      <c r="L78" s="469">
        <f t="shared" si="3"/>
        <v>13.585</v>
      </c>
      <c r="M78" s="351"/>
      <c r="N78" s="338"/>
      <c r="O78" s="352"/>
      <c r="P78" s="338"/>
      <c r="Q78" s="338"/>
      <c r="R78" s="338"/>
      <c r="S78" s="352"/>
    </row>
    <row r="79" spans="1:19" ht="24.75" customHeight="1">
      <c r="A79" s="317" t="s">
        <v>820</v>
      </c>
      <c r="B79" s="338" t="s">
        <v>1068</v>
      </c>
      <c r="C79" s="344" t="str">
        <f aca="true" t="shared" si="4" ref="C79:L79">C77</f>
        <v>bags</v>
      </c>
      <c r="D79" s="469">
        <f t="shared" si="4"/>
        <v>163.32875</v>
      </c>
      <c r="E79" s="469">
        <f t="shared" si="4"/>
        <v>15.561000000000002</v>
      </c>
      <c r="F79" s="469">
        <f t="shared" si="4"/>
        <v>88.61125</v>
      </c>
      <c r="G79" s="469">
        <f t="shared" si="4"/>
        <v>43.65725000000001</v>
      </c>
      <c r="H79" s="344" t="str">
        <f t="shared" si="4"/>
        <v>bags</v>
      </c>
      <c r="I79" s="469">
        <f t="shared" si="4"/>
        <v>243.17149999999998</v>
      </c>
      <c r="J79" s="469">
        <f t="shared" si="4"/>
        <v>8.151</v>
      </c>
      <c r="K79" s="469">
        <f t="shared" si="4"/>
        <v>47.5475</v>
      </c>
      <c r="L79" s="469">
        <f t="shared" si="4"/>
        <v>13.585</v>
      </c>
      <c r="M79" s="351"/>
      <c r="N79" s="338"/>
      <c r="O79" s="352"/>
      <c r="P79" s="338"/>
      <c r="Q79" s="338"/>
      <c r="R79" s="338"/>
      <c r="S79" s="352"/>
    </row>
    <row r="80" spans="1:19" ht="24.75" customHeight="1">
      <c r="A80" s="317" t="s">
        <v>821</v>
      </c>
      <c r="B80" s="338" t="s">
        <v>1069</v>
      </c>
      <c r="C80" s="344" t="s">
        <v>591</v>
      </c>
      <c r="D80" s="468">
        <v>195.624</v>
      </c>
      <c r="E80" s="468">
        <v>0</v>
      </c>
      <c r="F80" s="468">
        <v>41.68125</v>
      </c>
      <c r="G80" s="468">
        <v>20.006999999999998</v>
      </c>
      <c r="H80" s="340" t="s">
        <v>591</v>
      </c>
      <c r="I80" s="468">
        <v>195.624</v>
      </c>
      <c r="J80" s="468">
        <v>0</v>
      </c>
      <c r="K80" s="468">
        <v>41.68125</v>
      </c>
      <c r="L80" s="468">
        <v>20.006999999999998</v>
      </c>
      <c r="M80" s="351"/>
      <c r="N80" s="338"/>
      <c r="O80" s="352"/>
      <c r="P80" s="338"/>
      <c r="Q80" s="338"/>
      <c r="R80" s="338"/>
      <c r="S80" s="352"/>
    </row>
    <row r="81" spans="1:19" ht="24.75" customHeight="1">
      <c r="A81" s="317" t="s">
        <v>822</v>
      </c>
      <c r="B81" s="338" t="s">
        <v>1069</v>
      </c>
      <c r="C81" s="344" t="s">
        <v>591</v>
      </c>
      <c r="D81" s="468">
        <v>245.08575000000002</v>
      </c>
      <c r="E81" s="468">
        <v>45.015750000000004</v>
      </c>
      <c r="F81" s="468">
        <v>54.185625</v>
      </c>
      <c r="G81" s="468">
        <v>27.509625000000003</v>
      </c>
      <c r="H81" s="340" t="s">
        <v>591</v>
      </c>
      <c r="I81" s="468">
        <v>245.08575000000002</v>
      </c>
      <c r="J81" s="468">
        <v>45.015750000000004</v>
      </c>
      <c r="K81" s="468">
        <v>54.185625</v>
      </c>
      <c r="L81" s="468">
        <v>27.509625000000003</v>
      </c>
      <c r="M81" s="351"/>
      <c r="N81" s="338"/>
      <c r="O81" s="352"/>
      <c r="P81" s="338"/>
      <c r="Q81" s="338"/>
      <c r="R81" s="338"/>
      <c r="S81" s="352"/>
    </row>
    <row r="82" spans="1:19" ht="24.75" customHeight="1">
      <c r="A82" s="317">
        <v>101</v>
      </c>
      <c r="B82" s="338" t="s">
        <v>1069</v>
      </c>
      <c r="C82" s="344" t="s">
        <v>591</v>
      </c>
      <c r="D82" s="468">
        <v>83.05375</v>
      </c>
      <c r="E82" s="468">
        <v>10.620999999999999</v>
      </c>
      <c r="F82" s="468">
        <v>32.11</v>
      </c>
      <c r="G82" s="468">
        <v>74.1</v>
      </c>
      <c r="H82" s="340" t="s">
        <v>591</v>
      </c>
      <c r="I82" s="468">
        <v>175.37</v>
      </c>
      <c r="J82" s="468">
        <v>0</v>
      </c>
      <c r="K82" s="468">
        <v>39.52</v>
      </c>
      <c r="L82" s="468">
        <v>14.326000000000002</v>
      </c>
      <c r="M82" s="351"/>
      <c r="N82" s="337" t="s">
        <v>984</v>
      </c>
      <c r="O82" s="351" t="s">
        <v>984</v>
      </c>
      <c r="P82" s="338"/>
      <c r="Q82" s="340" t="s">
        <v>1029</v>
      </c>
      <c r="R82" s="338"/>
      <c r="S82" s="352"/>
    </row>
    <row r="83" spans="1:19" ht="24.75" customHeight="1">
      <c r="A83" s="320">
        <v>102</v>
      </c>
      <c r="B83" s="338" t="s">
        <v>1069</v>
      </c>
      <c r="C83" s="465" t="s">
        <v>351</v>
      </c>
      <c r="D83" s="471">
        <v>150</v>
      </c>
      <c r="E83" s="471">
        <v>30</v>
      </c>
      <c r="F83" s="471">
        <v>0</v>
      </c>
      <c r="G83" s="471">
        <v>0</v>
      </c>
      <c r="H83" s="380" t="s">
        <v>351</v>
      </c>
      <c r="I83" s="471">
        <v>230</v>
      </c>
      <c r="J83" s="471">
        <v>50</v>
      </c>
      <c r="K83" s="471">
        <v>0</v>
      </c>
      <c r="L83" s="471">
        <v>0</v>
      </c>
      <c r="M83" s="366"/>
      <c r="N83" s="342"/>
      <c r="O83" s="354"/>
      <c r="P83" s="342"/>
      <c r="Q83" s="368" t="s">
        <v>1036</v>
      </c>
      <c r="R83" s="342"/>
      <c r="S83" s="354"/>
    </row>
    <row r="84" spans="1:19" ht="24.75" customHeight="1">
      <c r="A84" s="320">
        <v>104</v>
      </c>
      <c r="B84" s="338" t="s">
        <v>1069</v>
      </c>
      <c r="C84" s="465" t="s">
        <v>591</v>
      </c>
      <c r="D84" s="468">
        <v>133.50350000000003</v>
      </c>
      <c r="E84" s="468">
        <v>9.7812</v>
      </c>
      <c r="F84" s="468">
        <v>55.6985</v>
      </c>
      <c r="G84" s="468">
        <v>27.441700000000008</v>
      </c>
      <c r="H84" s="477" t="s">
        <v>591</v>
      </c>
      <c r="I84" s="468">
        <v>191.4744</v>
      </c>
      <c r="J84" s="468">
        <v>0</v>
      </c>
      <c r="K84" s="468">
        <v>0</v>
      </c>
      <c r="L84" s="468">
        <v>22.526400000000002</v>
      </c>
      <c r="M84" s="367"/>
      <c r="N84" s="342"/>
      <c r="O84" s="354"/>
      <c r="P84" s="342"/>
      <c r="Q84" s="368" t="s">
        <v>1053</v>
      </c>
      <c r="R84" s="342"/>
      <c r="S84" s="354"/>
    </row>
    <row r="85" spans="1:19" ht="24.75" customHeight="1">
      <c r="A85" s="320" t="s">
        <v>784</v>
      </c>
      <c r="B85" s="338" t="s">
        <v>1069</v>
      </c>
      <c r="C85" s="465" t="s">
        <v>591</v>
      </c>
      <c r="D85" s="468">
        <v>77.49625</v>
      </c>
      <c r="E85" s="468">
        <v>4.446</v>
      </c>
      <c r="F85" s="468">
        <v>25.3175</v>
      </c>
      <c r="G85" s="468">
        <v>86.57350000000001</v>
      </c>
      <c r="H85" s="358" t="s">
        <v>591</v>
      </c>
      <c r="I85" s="468">
        <v>227.24</v>
      </c>
      <c r="J85" s="468">
        <v>0</v>
      </c>
      <c r="K85" s="468">
        <v>0</v>
      </c>
      <c r="L85" s="468">
        <v>0</v>
      </c>
      <c r="M85" s="369"/>
      <c r="N85" s="342"/>
      <c r="O85" s="366"/>
      <c r="P85" s="342"/>
      <c r="Q85" s="358" t="s">
        <v>1035</v>
      </c>
      <c r="R85" s="380"/>
      <c r="S85" s="366"/>
    </row>
    <row r="86" spans="1:19" ht="24.75" customHeight="1">
      <c r="A86" s="320" t="s">
        <v>785</v>
      </c>
      <c r="B86" s="338" t="s">
        <v>1069</v>
      </c>
      <c r="C86" s="465" t="s">
        <v>591</v>
      </c>
      <c r="D86" s="468">
        <f>D85</f>
        <v>77.49625</v>
      </c>
      <c r="E86" s="468">
        <f aca="true" t="shared" si="5" ref="E86:L86">E85</f>
        <v>4.446</v>
      </c>
      <c r="F86" s="468">
        <f t="shared" si="5"/>
        <v>25.3175</v>
      </c>
      <c r="G86" s="468">
        <f t="shared" si="5"/>
        <v>86.57350000000001</v>
      </c>
      <c r="H86" s="468" t="str">
        <f t="shared" si="5"/>
        <v>bags</v>
      </c>
      <c r="I86" s="468">
        <f t="shared" si="5"/>
        <v>227.24</v>
      </c>
      <c r="J86" s="468">
        <f t="shared" si="5"/>
        <v>0</v>
      </c>
      <c r="K86" s="468">
        <f t="shared" si="5"/>
        <v>0</v>
      </c>
      <c r="L86" s="468">
        <f t="shared" si="5"/>
        <v>0</v>
      </c>
      <c r="M86" s="369"/>
      <c r="N86" s="342"/>
      <c r="O86" s="354"/>
      <c r="P86" s="342"/>
      <c r="Q86" s="358" t="s">
        <v>1035</v>
      </c>
      <c r="R86" s="368"/>
      <c r="S86" s="382" t="s">
        <v>1067</v>
      </c>
    </row>
    <row r="87" spans="1:19" ht="24.75" customHeight="1">
      <c r="A87" s="320" t="s">
        <v>786</v>
      </c>
      <c r="B87" s="338" t="s">
        <v>1069</v>
      </c>
      <c r="C87" s="465" t="s">
        <v>591</v>
      </c>
      <c r="D87" s="468">
        <f>D85</f>
        <v>77.49625</v>
      </c>
      <c r="E87" s="468">
        <f aca="true" t="shared" si="6" ref="E87:L87">E85</f>
        <v>4.446</v>
      </c>
      <c r="F87" s="468">
        <f t="shared" si="6"/>
        <v>25.3175</v>
      </c>
      <c r="G87" s="468">
        <f t="shared" si="6"/>
        <v>86.57350000000001</v>
      </c>
      <c r="H87" s="468" t="str">
        <f t="shared" si="6"/>
        <v>bags</v>
      </c>
      <c r="I87" s="468">
        <f t="shared" si="6"/>
        <v>227.24</v>
      </c>
      <c r="J87" s="468">
        <f t="shared" si="6"/>
        <v>0</v>
      </c>
      <c r="K87" s="468">
        <f t="shared" si="6"/>
        <v>0</v>
      </c>
      <c r="L87" s="468">
        <f t="shared" si="6"/>
        <v>0</v>
      </c>
      <c r="M87" s="369"/>
      <c r="N87" s="342"/>
      <c r="O87" s="354"/>
      <c r="P87" s="342"/>
      <c r="Q87" s="358" t="s">
        <v>1035</v>
      </c>
      <c r="R87" s="342"/>
      <c r="S87" s="354"/>
    </row>
    <row r="88" spans="1:19" s="51" customFormat="1" ht="24.75" customHeight="1">
      <c r="A88" s="320">
        <v>65</v>
      </c>
      <c r="B88" s="338" t="s">
        <v>1069</v>
      </c>
      <c r="C88" s="465"/>
      <c r="D88" s="570">
        <v>168.66</v>
      </c>
      <c r="E88" s="570">
        <v>49.4</v>
      </c>
      <c r="F88" s="570">
        <v>0</v>
      </c>
      <c r="G88" s="570">
        <v>4.94</v>
      </c>
      <c r="H88" s="576" t="s">
        <v>71</v>
      </c>
      <c r="I88" s="213">
        <v>138</v>
      </c>
      <c r="J88" s="213">
        <v>0</v>
      </c>
      <c r="K88" s="213">
        <v>0</v>
      </c>
      <c r="L88" s="213">
        <v>0</v>
      </c>
      <c r="M88" s="577"/>
      <c r="N88" s="342"/>
      <c r="O88" s="465"/>
      <c r="P88" s="342"/>
      <c r="Q88" s="358"/>
      <c r="R88" s="342"/>
      <c r="S88" s="465"/>
    </row>
    <row r="89" spans="1:17" ht="42" customHeight="1">
      <c r="A89" s="320">
        <v>84</v>
      </c>
      <c r="B89" s="338" t="s">
        <v>1069</v>
      </c>
      <c r="C89" s="689" t="s">
        <v>591</v>
      </c>
      <c r="D89" s="570">
        <v>60</v>
      </c>
      <c r="I89" s="468">
        <v>90</v>
      </c>
      <c r="Q89" s="358" t="s">
        <v>667</v>
      </c>
    </row>
  </sheetData>
  <sheetProtection/>
  <mergeCells count="3">
    <mergeCell ref="D1:H1"/>
    <mergeCell ref="I1:M1"/>
    <mergeCell ref="B56:B58"/>
  </mergeCells>
  <printOptions/>
  <pageMargins left="0.75" right="0.75" top="1" bottom="1" header="0.5" footer="0.5"/>
  <pageSetup horizontalDpi="600" verticalDpi="600" orientation="portrait" paperSize="9" r:id="rId3"/>
  <legacyDrawing r:id="rId2"/>
</worksheet>
</file>

<file path=xl/worksheets/sheet14.xml><?xml version="1.0" encoding="utf-8"?>
<worksheet xmlns="http://schemas.openxmlformats.org/spreadsheetml/2006/main" xmlns:r="http://schemas.openxmlformats.org/officeDocument/2006/relationships">
  <dimension ref="A1:BZ214"/>
  <sheetViews>
    <sheetView zoomScalePageLayoutView="0" workbookViewId="0" topLeftCell="A1">
      <selection activeCell="BF1" sqref="BF1:BR4"/>
    </sheetView>
  </sheetViews>
  <sheetFormatPr defaultColWidth="9.140625" defaultRowHeight="24" customHeight="1"/>
  <cols>
    <col min="2" max="2" width="13.57421875" style="189" customWidth="1"/>
    <col min="3" max="3" width="21.421875" style="189" customWidth="1"/>
    <col min="4" max="4" width="7.57421875" style="189" customWidth="1"/>
    <col min="5" max="11" width="18.8515625" style="0" customWidth="1"/>
    <col min="12" max="12" width="18.8515625" style="396" customWidth="1"/>
    <col min="13" max="58" width="18.8515625" style="0" customWidth="1"/>
    <col min="59" max="59" width="15.7109375" style="0" customWidth="1"/>
    <col min="60" max="60" width="14.140625" style="0" customWidth="1"/>
    <col min="61" max="61" width="14.8515625" style="0" customWidth="1"/>
    <col min="62" max="62" width="14.57421875" style="0" customWidth="1"/>
    <col min="63" max="63" width="15.421875" style="0" customWidth="1"/>
    <col min="64" max="64" width="18.28125" style="0" customWidth="1"/>
    <col min="65" max="65" width="15.7109375" style="0" customWidth="1"/>
    <col min="66" max="66" width="13.7109375" style="0" customWidth="1"/>
    <col min="67" max="67" width="14.28125" style="0" customWidth="1"/>
    <col min="68" max="68" width="14.00390625" style="0" customWidth="1"/>
    <col min="69" max="69" width="13.7109375" style="0" customWidth="1"/>
    <col min="70" max="70" width="15.57421875" style="0" customWidth="1"/>
  </cols>
  <sheetData>
    <row r="1" spans="1:70" s="316" customFormat="1" ht="24" customHeight="1">
      <c r="A1" s="817" t="s">
        <v>868</v>
      </c>
      <c r="B1" s="817"/>
      <c r="C1" s="817"/>
      <c r="D1" s="817"/>
      <c r="E1" s="815" t="s">
        <v>1116</v>
      </c>
      <c r="F1" s="815" t="s">
        <v>1116</v>
      </c>
      <c r="G1" s="815" t="s">
        <v>1116</v>
      </c>
      <c r="H1" s="815" t="s">
        <v>1116</v>
      </c>
      <c r="I1" s="815" t="s">
        <v>1116</v>
      </c>
      <c r="J1" s="815" t="s">
        <v>1116</v>
      </c>
      <c r="K1" s="815" t="s">
        <v>1116</v>
      </c>
      <c r="L1" s="815" t="s">
        <v>1116</v>
      </c>
      <c r="M1" s="815" t="s">
        <v>1116</v>
      </c>
      <c r="N1" s="815" t="s">
        <v>1116</v>
      </c>
      <c r="O1" s="815" t="s">
        <v>1116</v>
      </c>
      <c r="P1" s="815" t="s">
        <v>1116</v>
      </c>
      <c r="Q1" s="815" t="s">
        <v>1116</v>
      </c>
      <c r="R1" s="815" t="s">
        <v>1116</v>
      </c>
      <c r="S1" s="815" t="s">
        <v>1116</v>
      </c>
      <c r="T1" s="815" t="s">
        <v>1116</v>
      </c>
      <c r="U1" s="815" t="s">
        <v>1116</v>
      </c>
      <c r="V1" s="815" t="s">
        <v>1116</v>
      </c>
      <c r="W1" s="815" t="s">
        <v>1116</v>
      </c>
      <c r="X1" s="815" t="s">
        <v>1116</v>
      </c>
      <c r="Y1" s="815" t="s">
        <v>1116</v>
      </c>
      <c r="Z1" s="815" t="s">
        <v>1116</v>
      </c>
      <c r="AA1" s="815" t="s">
        <v>1116</v>
      </c>
      <c r="AB1" s="815" t="s">
        <v>1116</v>
      </c>
      <c r="AC1" s="815" t="s">
        <v>1116</v>
      </c>
      <c r="AD1" s="815" t="s">
        <v>1116</v>
      </c>
      <c r="AE1" s="815" t="s">
        <v>1116</v>
      </c>
      <c r="AF1" s="815" t="s">
        <v>1116</v>
      </c>
      <c r="AG1" s="815" t="s">
        <v>1116</v>
      </c>
      <c r="AH1" s="815" t="s">
        <v>1116</v>
      </c>
      <c r="AI1" s="815" t="s">
        <v>1116</v>
      </c>
      <c r="AJ1" s="815" t="s">
        <v>1116</v>
      </c>
      <c r="AK1" s="815" t="s">
        <v>1116</v>
      </c>
      <c r="AL1" s="815" t="s">
        <v>1116</v>
      </c>
      <c r="AM1" s="815" t="s">
        <v>1116</v>
      </c>
      <c r="AN1" s="815" t="s">
        <v>1116</v>
      </c>
      <c r="AO1" s="815" t="s">
        <v>1116</v>
      </c>
      <c r="AP1" s="815" t="s">
        <v>1116</v>
      </c>
      <c r="AQ1" s="815" t="s">
        <v>1116</v>
      </c>
      <c r="AR1" s="815" t="s">
        <v>1116</v>
      </c>
      <c r="AS1" s="815" t="s">
        <v>1116</v>
      </c>
      <c r="AT1" s="815" t="s">
        <v>1116</v>
      </c>
      <c r="AU1" s="815" t="s">
        <v>1116</v>
      </c>
      <c r="AV1" s="815" t="s">
        <v>1116</v>
      </c>
      <c r="AW1" s="815" t="s">
        <v>1116</v>
      </c>
      <c r="AX1" s="815" t="s">
        <v>1116</v>
      </c>
      <c r="AY1" s="815" t="s">
        <v>1116</v>
      </c>
      <c r="AZ1" s="815" t="s">
        <v>1116</v>
      </c>
      <c r="BA1" s="815" t="s">
        <v>1116</v>
      </c>
      <c r="BB1" s="815" t="s">
        <v>1116</v>
      </c>
      <c r="BC1" s="815" t="s">
        <v>1116</v>
      </c>
      <c r="BD1" s="815" t="s">
        <v>1116</v>
      </c>
      <c r="BE1" s="815" t="s">
        <v>1116</v>
      </c>
      <c r="BF1" s="815" t="s">
        <v>1116</v>
      </c>
      <c r="BG1" s="815" t="s">
        <v>1116</v>
      </c>
      <c r="BH1" s="815" t="s">
        <v>1116</v>
      </c>
      <c r="BI1" s="815" t="s">
        <v>1116</v>
      </c>
      <c r="BJ1" s="815" t="s">
        <v>1116</v>
      </c>
      <c r="BK1" s="815" t="s">
        <v>1116</v>
      </c>
      <c r="BL1" s="815" t="s">
        <v>1116</v>
      </c>
      <c r="BM1" s="815" t="s">
        <v>1116</v>
      </c>
      <c r="BN1" s="815" t="s">
        <v>1116</v>
      </c>
      <c r="BO1" s="815" t="s">
        <v>1116</v>
      </c>
      <c r="BP1" s="815" t="s">
        <v>1116</v>
      </c>
      <c r="BQ1" s="815" t="s">
        <v>1116</v>
      </c>
      <c r="BR1" s="815" t="s">
        <v>1116</v>
      </c>
    </row>
    <row r="2" spans="1:70" s="316" customFormat="1" ht="24" customHeight="1">
      <c r="A2" s="817"/>
      <c r="B2" s="817"/>
      <c r="C2" s="817"/>
      <c r="D2" s="817"/>
      <c r="E2" s="815"/>
      <c r="F2" s="815"/>
      <c r="G2" s="815"/>
      <c r="H2" s="815"/>
      <c r="I2" s="815"/>
      <c r="J2" s="815"/>
      <c r="K2" s="815"/>
      <c r="L2" s="815"/>
      <c r="M2" s="815"/>
      <c r="N2" s="815"/>
      <c r="O2" s="815"/>
      <c r="P2" s="815"/>
      <c r="Q2" s="815"/>
      <c r="R2" s="815"/>
      <c r="S2" s="815"/>
      <c r="T2" s="815"/>
      <c r="U2" s="815"/>
      <c r="V2" s="815"/>
      <c r="W2" s="815"/>
      <c r="X2" s="815"/>
      <c r="Y2" s="815"/>
      <c r="Z2" s="815"/>
      <c r="AA2" s="815"/>
      <c r="AB2" s="815"/>
      <c r="AC2" s="815"/>
      <c r="AD2" s="815"/>
      <c r="AE2" s="815"/>
      <c r="AF2" s="815"/>
      <c r="AG2" s="815"/>
      <c r="AH2" s="815"/>
      <c r="AI2" s="815"/>
      <c r="AJ2" s="815"/>
      <c r="AK2" s="815"/>
      <c r="AL2" s="815"/>
      <c r="AM2" s="815"/>
      <c r="AN2" s="815"/>
      <c r="AO2" s="815"/>
      <c r="AP2" s="815"/>
      <c r="AQ2" s="815"/>
      <c r="AR2" s="815"/>
      <c r="AS2" s="815"/>
      <c r="AT2" s="815"/>
      <c r="AU2" s="815"/>
      <c r="AV2" s="815"/>
      <c r="AW2" s="815"/>
      <c r="AX2" s="815"/>
      <c r="AY2" s="815"/>
      <c r="AZ2" s="815"/>
      <c r="BA2" s="815"/>
      <c r="BB2" s="815"/>
      <c r="BC2" s="815"/>
      <c r="BD2" s="815"/>
      <c r="BE2" s="815"/>
      <c r="BF2" s="815"/>
      <c r="BG2" s="815"/>
      <c r="BH2" s="815"/>
      <c r="BI2" s="815"/>
      <c r="BJ2" s="815"/>
      <c r="BK2" s="815"/>
      <c r="BL2" s="815"/>
      <c r="BM2" s="815"/>
      <c r="BN2" s="815"/>
      <c r="BO2" s="815"/>
      <c r="BP2" s="815"/>
      <c r="BQ2" s="815"/>
      <c r="BR2" s="815"/>
    </row>
    <row r="3" spans="1:70" s="316" customFormat="1" ht="24" customHeight="1">
      <c r="A3" s="817"/>
      <c r="B3" s="817"/>
      <c r="C3" s="817"/>
      <c r="D3" s="817"/>
      <c r="E3" s="815"/>
      <c r="F3" s="815"/>
      <c r="G3" s="815"/>
      <c r="H3" s="815"/>
      <c r="I3" s="815"/>
      <c r="J3" s="815"/>
      <c r="K3" s="815"/>
      <c r="L3" s="815"/>
      <c r="M3" s="815"/>
      <c r="N3" s="815"/>
      <c r="O3" s="815"/>
      <c r="P3" s="815"/>
      <c r="Q3" s="815"/>
      <c r="R3" s="815"/>
      <c r="S3" s="815"/>
      <c r="T3" s="815"/>
      <c r="U3" s="815"/>
      <c r="V3" s="815"/>
      <c r="W3" s="815"/>
      <c r="X3" s="815"/>
      <c r="Y3" s="815"/>
      <c r="Z3" s="815"/>
      <c r="AA3" s="815"/>
      <c r="AB3" s="815"/>
      <c r="AC3" s="815"/>
      <c r="AD3" s="815"/>
      <c r="AE3" s="815"/>
      <c r="AF3" s="815"/>
      <c r="AG3" s="815"/>
      <c r="AH3" s="815"/>
      <c r="AI3" s="815"/>
      <c r="AJ3" s="815"/>
      <c r="AK3" s="815"/>
      <c r="AL3" s="815"/>
      <c r="AM3" s="815"/>
      <c r="AN3" s="815"/>
      <c r="AO3" s="815"/>
      <c r="AP3" s="815"/>
      <c r="AQ3" s="815"/>
      <c r="AR3" s="815"/>
      <c r="AS3" s="815"/>
      <c r="AT3" s="815"/>
      <c r="AU3" s="815"/>
      <c r="AV3" s="815"/>
      <c r="AW3" s="815"/>
      <c r="AX3" s="815"/>
      <c r="AY3" s="815"/>
      <c r="AZ3" s="815"/>
      <c r="BA3" s="815"/>
      <c r="BB3" s="815"/>
      <c r="BC3" s="815"/>
      <c r="BD3" s="815"/>
      <c r="BE3" s="815"/>
      <c r="BF3" s="815"/>
      <c r="BG3" s="815"/>
      <c r="BH3" s="815"/>
      <c r="BI3" s="815"/>
      <c r="BJ3" s="815"/>
      <c r="BK3" s="815"/>
      <c r="BL3" s="815"/>
      <c r="BM3" s="815"/>
      <c r="BN3" s="815"/>
      <c r="BO3" s="815"/>
      <c r="BP3" s="815"/>
      <c r="BQ3" s="815"/>
      <c r="BR3" s="815"/>
    </row>
    <row r="4" spans="1:78" s="314" customFormat="1" ht="24" customHeight="1">
      <c r="A4" s="817"/>
      <c r="B4" s="817"/>
      <c r="C4" s="817"/>
      <c r="D4" s="817"/>
      <c r="E4" s="815"/>
      <c r="F4" s="815"/>
      <c r="G4" s="815"/>
      <c r="H4" s="815"/>
      <c r="I4" s="815"/>
      <c r="J4" s="815"/>
      <c r="K4" s="815"/>
      <c r="L4" s="815"/>
      <c r="M4" s="815"/>
      <c r="N4" s="815"/>
      <c r="O4" s="815"/>
      <c r="P4" s="815"/>
      <c r="Q4" s="815"/>
      <c r="R4" s="815"/>
      <c r="S4" s="815"/>
      <c r="T4" s="815"/>
      <c r="U4" s="815"/>
      <c r="V4" s="815"/>
      <c r="W4" s="815"/>
      <c r="X4" s="815"/>
      <c r="Y4" s="815"/>
      <c r="Z4" s="815"/>
      <c r="AA4" s="815"/>
      <c r="AB4" s="815"/>
      <c r="AC4" s="815"/>
      <c r="AD4" s="815"/>
      <c r="AE4" s="815"/>
      <c r="AF4" s="815"/>
      <c r="AG4" s="815"/>
      <c r="AH4" s="815"/>
      <c r="AI4" s="815"/>
      <c r="AJ4" s="815"/>
      <c r="AK4" s="815"/>
      <c r="AL4" s="815"/>
      <c r="AM4" s="815"/>
      <c r="AN4" s="815"/>
      <c r="AO4" s="815"/>
      <c r="AP4" s="815"/>
      <c r="AQ4" s="815"/>
      <c r="AR4" s="815"/>
      <c r="AS4" s="815"/>
      <c r="AT4" s="815"/>
      <c r="AU4" s="815"/>
      <c r="AV4" s="815"/>
      <c r="AW4" s="815"/>
      <c r="AX4" s="815"/>
      <c r="AY4" s="815"/>
      <c r="AZ4" s="815"/>
      <c r="BA4" s="815"/>
      <c r="BB4" s="815"/>
      <c r="BC4" s="815"/>
      <c r="BD4" s="815"/>
      <c r="BE4" s="815"/>
      <c r="BF4" s="815"/>
      <c r="BG4" s="815"/>
      <c r="BH4" s="815"/>
      <c r="BI4" s="815"/>
      <c r="BJ4" s="815"/>
      <c r="BK4" s="815"/>
      <c r="BL4" s="815"/>
      <c r="BM4" s="815"/>
      <c r="BN4" s="815"/>
      <c r="BO4" s="815"/>
      <c r="BP4" s="815"/>
      <c r="BQ4" s="815"/>
      <c r="BR4" s="815"/>
      <c r="BS4" s="313"/>
      <c r="BT4" s="313"/>
      <c r="BU4" s="313"/>
      <c r="BV4" s="313"/>
      <c r="BW4" s="313"/>
      <c r="BX4" s="313"/>
      <c r="BY4" s="313"/>
      <c r="BZ4" s="313"/>
    </row>
    <row r="5" spans="1:78" s="318" customFormat="1" ht="24" customHeight="1">
      <c r="A5" s="315"/>
      <c r="B5" s="315"/>
      <c r="C5" s="315"/>
      <c r="D5" s="315"/>
      <c r="E5" s="300">
        <v>1</v>
      </c>
      <c r="F5" s="317">
        <v>2</v>
      </c>
      <c r="G5" s="317">
        <v>3</v>
      </c>
      <c r="H5" s="317">
        <v>4</v>
      </c>
      <c r="I5" s="317">
        <v>5</v>
      </c>
      <c r="J5" s="317">
        <v>6</v>
      </c>
      <c r="O5" s="317"/>
      <c r="P5" s="317">
        <v>21</v>
      </c>
      <c r="Q5" s="317">
        <v>22</v>
      </c>
      <c r="R5" s="317" t="s">
        <v>787</v>
      </c>
      <c r="S5" s="317" t="s">
        <v>788</v>
      </c>
      <c r="AA5" s="317">
        <v>40</v>
      </c>
      <c r="AB5" s="317">
        <v>41</v>
      </c>
      <c r="AC5" s="317">
        <v>42</v>
      </c>
      <c r="AD5" s="317">
        <v>44</v>
      </c>
      <c r="AE5" s="317">
        <v>45</v>
      </c>
      <c r="AF5" s="317">
        <v>47</v>
      </c>
      <c r="AG5" s="317">
        <v>50</v>
      </c>
      <c r="AH5" s="317">
        <v>51</v>
      </c>
      <c r="AI5" s="317">
        <v>54</v>
      </c>
      <c r="AJ5" s="317">
        <v>59</v>
      </c>
      <c r="AK5" s="317">
        <v>61</v>
      </c>
      <c r="AL5" s="317" t="s">
        <v>802</v>
      </c>
      <c r="AM5" s="317" t="s">
        <v>803</v>
      </c>
      <c r="AN5" s="317">
        <v>66</v>
      </c>
      <c r="AO5" s="317">
        <v>69</v>
      </c>
      <c r="AP5" s="317">
        <v>71</v>
      </c>
      <c r="AQ5" s="317">
        <v>72</v>
      </c>
      <c r="AR5" s="317">
        <v>73</v>
      </c>
      <c r="AZ5" s="317"/>
      <c r="BA5" s="317" t="s">
        <v>13</v>
      </c>
      <c r="BB5" s="317" t="s">
        <v>819</v>
      </c>
      <c r="BC5" s="317" t="s">
        <v>820</v>
      </c>
      <c r="BD5" s="317" t="s">
        <v>821</v>
      </c>
      <c r="BE5" s="317" t="s">
        <v>822</v>
      </c>
      <c r="BF5" s="317">
        <v>101</v>
      </c>
      <c r="BG5" s="319"/>
      <c r="BH5" s="319"/>
      <c r="BI5" s="320"/>
      <c r="BJ5" s="320"/>
      <c r="BK5" s="320"/>
      <c r="BL5" s="320"/>
      <c r="BM5" s="320"/>
      <c r="BN5" s="320"/>
      <c r="BO5" s="320"/>
      <c r="BP5" s="320"/>
      <c r="BQ5" s="320"/>
      <c r="BR5" s="320"/>
      <c r="BS5" s="321"/>
      <c r="BT5" s="321"/>
      <c r="BU5" s="321"/>
      <c r="BV5" s="322"/>
      <c r="BW5" s="321"/>
      <c r="BX5" s="321"/>
      <c r="BY5" s="321"/>
      <c r="BZ5" s="321"/>
    </row>
    <row r="6" spans="1:78" s="318" customFormat="1" ht="24" customHeight="1">
      <c r="A6" s="315"/>
      <c r="B6" s="315"/>
      <c r="C6" s="315"/>
      <c r="D6" s="315"/>
      <c r="E6" s="300">
        <v>1</v>
      </c>
      <c r="F6" s="317">
        <v>2</v>
      </c>
      <c r="G6" s="317">
        <v>3</v>
      </c>
      <c r="H6" s="317">
        <v>4</v>
      </c>
      <c r="I6" s="317">
        <v>5</v>
      </c>
      <c r="J6" s="317">
        <v>6</v>
      </c>
      <c r="K6" s="317" t="s">
        <v>869</v>
      </c>
      <c r="L6" s="317">
        <v>12</v>
      </c>
      <c r="M6" s="317">
        <v>16</v>
      </c>
      <c r="N6" s="317">
        <v>17</v>
      </c>
      <c r="O6" s="317"/>
      <c r="P6" s="317">
        <v>21</v>
      </c>
      <c r="Q6" s="317">
        <v>22</v>
      </c>
      <c r="R6" s="317" t="s">
        <v>787</v>
      </c>
      <c r="S6" s="317" t="s">
        <v>788</v>
      </c>
      <c r="T6" s="317">
        <v>31</v>
      </c>
      <c r="U6" s="317">
        <v>33</v>
      </c>
      <c r="V6" s="317">
        <v>33</v>
      </c>
      <c r="W6" s="317">
        <v>33</v>
      </c>
      <c r="X6" s="317">
        <v>36</v>
      </c>
      <c r="Y6" s="317">
        <v>38</v>
      </c>
      <c r="Z6" s="317">
        <v>39</v>
      </c>
      <c r="AA6" s="317">
        <v>40</v>
      </c>
      <c r="AB6" s="317">
        <v>41</v>
      </c>
      <c r="AC6" s="317">
        <v>42</v>
      </c>
      <c r="AD6" s="317">
        <v>44</v>
      </c>
      <c r="AE6" s="317">
        <v>45</v>
      </c>
      <c r="AF6" s="317">
        <v>47</v>
      </c>
      <c r="AG6" s="317">
        <v>50</v>
      </c>
      <c r="AH6" s="317">
        <v>51</v>
      </c>
      <c r="AI6" s="317">
        <v>54</v>
      </c>
      <c r="AJ6" s="317">
        <v>59</v>
      </c>
      <c r="AK6" s="317">
        <v>61</v>
      </c>
      <c r="AL6" s="317" t="s">
        <v>802</v>
      </c>
      <c r="AM6" s="317" t="s">
        <v>803</v>
      </c>
      <c r="AN6" s="317">
        <v>66</v>
      </c>
      <c r="AO6" s="317">
        <v>69</v>
      </c>
      <c r="AP6" s="317">
        <v>71</v>
      </c>
      <c r="AQ6" s="317">
        <v>72</v>
      </c>
      <c r="AR6" s="317">
        <v>73</v>
      </c>
      <c r="AS6" s="317">
        <v>74</v>
      </c>
      <c r="AT6" s="317">
        <v>76</v>
      </c>
      <c r="AU6" s="317">
        <v>77</v>
      </c>
      <c r="AV6" s="317">
        <v>82</v>
      </c>
      <c r="AW6" s="317" t="s">
        <v>806</v>
      </c>
      <c r="AX6" s="317" t="s">
        <v>807</v>
      </c>
      <c r="AY6" s="317">
        <v>87</v>
      </c>
      <c r="AZ6" s="317">
        <v>89</v>
      </c>
      <c r="BA6" s="317" t="s">
        <v>13</v>
      </c>
      <c r="BB6" s="317" t="s">
        <v>819</v>
      </c>
      <c r="BC6" s="317" t="s">
        <v>820</v>
      </c>
      <c r="BD6" s="317" t="s">
        <v>821</v>
      </c>
      <c r="BE6" s="317" t="s">
        <v>822</v>
      </c>
      <c r="BF6" s="317">
        <v>101</v>
      </c>
      <c r="BG6" s="319" t="s">
        <v>817</v>
      </c>
      <c r="BH6" s="319" t="s">
        <v>818</v>
      </c>
      <c r="BI6" s="320">
        <v>50</v>
      </c>
      <c r="BJ6" s="320">
        <v>64</v>
      </c>
      <c r="BK6" s="320"/>
      <c r="BL6" s="320">
        <v>37</v>
      </c>
      <c r="BM6" s="320">
        <v>15</v>
      </c>
      <c r="BN6" s="320" t="s">
        <v>784</v>
      </c>
      <c r="BO6" s="320" t="s">
        <v>785</v>
      </c>
      <c r="BP6" s="320" t="s">
        <v>786</v>
      </c>
      <c r="BQ6" s="320">
        <v>102</v>
      </c>
      <c r="BR6" s="320">
        <v>104</v>
      </c>
      <c r="BS6" s="321"/>
      <c r="BT6" s="321"/>
      <c r="BU6" s="321"/>
      <c r="BV6" s="322"/>
      <c r="BW6" s="321"/>
      <c r="BX6" s="321"/>
      <c r="BY6" s="321"/>
      <c r="BZ6" s="321"/>
    </row>
    <row r="7" spans="2:78" ht="24" customHeight="1">
      <c r="B7" s="816" t="s">
        <v>870</v>
      </c>
      <c r="C7" s="816"/>
      <c r="D7" s="190"/>
      <c r="E7" s="205">
        <f>'[2]data input sheet'!E353</f>
        <v>18.349999999999998</v>
      </c>
      <c r="F7" s="205">
        <f>'[2]data input sheet'!G353</f>
        <v>19.65</v>
      </c>
      <c r="G7" s="205">
        <f>'[2]data input sheet'!I353</f>
        <v>19.65</v>
      </c>
      <c r="H7" s="205">
        <f>'[2]data input sheet'!K353</f>
        <v>0</v>
      </c>
      <c r="I7" s="205">
        <f>'[2]data input sheet'!M353</f>
        <v>13.15</v>
      </c>
      <c r="J7" s="205">
        <f>'[2]data input sheet'!O353</f>
        <v>0.4375</v>
      </c>
      <c r="K7" s="205">
        <f>'[2]data input sheet'!Q353</f>
        <v>13.4125</v>
      </c>
      <c r="L7" s="205">
        <f>'[2]data input sheet'!S353</f>
        <v>27.15</v>
      </c>
      <c r="M7" s="205">
        <f>'[2]data input sheet'!U353</f>
        <v>15.399999999999999</v>
      </c>
      <c r="N7" s="205">
        <f>'[2]data input sheet'!W353</f>
        <v>13.15</v>
      </c>
      <c r="O7" s="205">
        <f>'[2]data input sheet'!Y353</f>
        <v>13.9</v>
      </c>
      <c r="P7" s="205">
        <f>'[2]data input sheet'!AA353</f>
        <v>13.4</v>
      </c>
      <c r="Q7" s="205">
        <f>'[2]data input sheet'!AC353</f>
        <v>0.925</v>
      </c>
      <c r="R7" s="205">
        <f>'[2]data input sheet'!AE353</f>
        <v>0.5</v>
      </c>
      <c r="S7" s="205">
        <f>'[2]data input sheet'!AG353</f>
        <v>0.675</v>
      </c>
      <c r="T7" s="205">
        <f>'[2]data input sheet'!AI353</f>
        <v>13.9</v>
      </c>
      <c r="U7" s="205">
        <f>'[2]data input sheet'!AK353</f>
        <v>7.5625</v>
      </c>
      <c r="V7" s="205">
        <f>'[2]data input sheet'!AM353</f>
        <v>7.7125</v>
      </c>
      <c r="W7" s="205">
        <f>'[2]data input sheet'!AO353</f>
        <v>20.4625</v>
      </c>
      <c r="X7" s="205">
        <f>'[2]data input sheet'!AQ353</f>
        <v>1</v>
      </c>
      <c r="Y7" s="205">
        <f>'[2]data input sheet'!AS353</f>
        <v>18.549999999999997</v>
      </c>
      <c r="Z7" s="205">
        <f>'[2]data input sheet'!AU353</f>
        <v>0.25</v>
      </c>
      <c r="AA7" s="205">
        <f>'[2]data input sheet'!AW353</f>
        <v>15.012500000000001</v>
      </c>
      <c r="AB7" s="205">
        <f>'[2]data input sheet'!AY353</f>
        <v>22.91</v>
      </c>
      <c r="AC7" s="205">
        <f>'[2]data input sheet'!BA353</f>
        <v>13.15</v>
      </c>
      <c r="AD7" s="205">
        <f>'[2]data input sheet'!BC353</f>
        <v>21.2125</v>
      </c>
      <c r="AE7" s="205">
        <f>'[2]data input sheet'!BE353</f>
        <v>21.2125</v>
      </c>
      <c r="AF7" s="205">
        <f>'[2]data input sheet'!BG353</f>
        <v>6.887499999999999</v>
      </c>
      <c r="AG7" s="205">
        <f>'[2]data input sheet'!BI353</f>
        <v>22.125</v>
      </c>
      <c r="AH7" s="205">
        <f>'[2]data input sheet'!BK353</f>
        <v>40.45</v>
      </c>
      <c r="AI7" s="205">
        <f>'[2]data input sheet'!BM353</f>
        <v>13.15</v>
      </c>
      <c r="AJ7" s="205">
        <f>'[2]data input sheet'!BO353</f>
        <v>5.25</v>
      </c>
      <c r="AK7" s="205">
        <f>'[2]data input sheet'!BQ353</f>
        <v>0.15</v>
      </c>
      <c r="AL7" s="205">
        <f>'[2]data input sheet'!BS353</f>
        <v>9.675</v>
      </c>
      <c r="AM7" s="205">
        <f>'[2]data input sheet'!BU353</f>
        <v>9.675</v>
      </c>
      <c r="AN7" s="205">
        <f>'[2]data input sheet'!BW353</f>
        <v>1.25</v>
      </c>
      <c r="AO7" s="205">
        <f>'[2]data input sheet'!BY353</f>
        <v>13.3375</v>
      </c>
      <c r="AP7" s="205">
        <f>'[2]data input sheet'!CA353</f>
        <v>0.15</v>
      </c>
      <c r="AQ7" s="205">
        <f>'[2]data input sheet'!CC353</f>
        <v>40.074999999999996</v>
      </c>
      <c r="AR7" s="205">
        <f>'[2]data input sheet'!CE353</f>
        <v>0.15</v>
      </c>
      <c r="AS7" s="205">
        <f>'[2]data input sheet'!CG353</f>
        <v>1.0625</v>
      </c>
      <c r="AT7" s="205">
        <f>'[2]data input sheet'!CI353</f>
        <v>6.85</v>
      </c>
      <c r="AU7" s="205">
        <f>'[2]data input sheet'!CK353</f>
        <v>18.799999999999997</v>
      </c>
      <c r="AV7" s="205">
        <f>'[2]data input sheet'!CM353</f>
        <v>20.5375</v>
      </c>
      <c r="AW7" s="205">
        <f>'[2]data input sheet'!CO353</f>
        <v>24.749999999999996</v>
      </c>
      <c r="AX7" s="205">
        <f>'[2]data input sheet'!CQ353</f>
        <v>24.674999999999997</v>
      </c>
      <c r="AY7" s="205">
        <f>'[2]data input sheet'!CS353</f>
        <v>13.15</v>
      </c>
      <c r="AZ7" s="205">
        <f>'[2]data input sheet'!CU353</f>
        <v>12.875</v>
      </c>
      <c r="BA7" s="205">
        <f>'[2]data input sheet'!CW353</f>
        <v>22.45</v>
      </c>
      <c r="BB7" s="205">
        <f>'[2]data input sheet'!CY353</f>
        <v>22.45</v>
      </c>
      <c r="BC7" s="205">
        <f>'[2]data input sheet'!DA353</f>
        <v>22.45</v>
      </c>
      <c r="BD7" s="205">
        <f>'[2]data input sheet'!DC353</f>
        <v>1</v>
      </c>
      <c r="BE7" s="205">
        <f>'[2]data input sheet'!DE353</f>
        <v>1.0625</v>
      </c>
      <c r="BF7" s="205">
        <f>'[2]data input sheet'!DG353</f>
        <v>6.499999999999999</v>
      </c>
      <c r="BG7" s="199">
        <f>'[2]data input sheet'!DI353</f>
        <v>7.6875</v>
      </c>
      <c r="BH7" s="199">
        <f>'[2]data input sheet'!DK353</f>
        <v>7.6875</v>
      </c>
      <c r="BI7" s="199">
        <f>'[2]data input sheet'!DM353</f>
        <v>22.125</v>
      </c>
      <c r="BJ7" s="199">
        <f>'[2]data input sheet'!DO353</f>
        <v>6.75</v>
      </c>
      <c r="BK7" s="199">
        <f>'[2]data input sheet'!DQ353</f>
        <v>10.049999999999999</v>
      </c>
      <c r="BL7" s="199">
        <f>'[2]data input sheet'!DS353</f>
        <v>6.9625</v>
      </c>
      <c r="BM7" s="199">
        <f>'[2]data input sheet'!DU353</f>
        <v>0</v>
      </c>
      <c r="BN7" s="199" t="s">
        <v>784</v>
      </c>
      <c r="BO7" s="199">
        <f>'[2]data input sheet'!DY353</f>
        <v>39.45</v>
      </c>
      <c r="BP7" s="199">
        <f>'[2]data input sheet'!EA353</f>
        <v>38.550000000000004</v>
      </c>
      <c r="BQ7" s="199">
        <f>'[2]data input sheet'!EC353</f>
        <v>13.3</v>
      </c>
      <c r="BR7" s="199">
        <f>'[2]data input sheet'!EE353</f>
        <v>29.84375</v>
      </c>
      <c r="BS7" s="199"/>
      <c r="BT7" s="199"/>
      <c r="BU7" s="199"/>
      <c r="BV7" s="199"/>
      <c r="BW7" s="199"/>
      <c r="BX7" s="199"/>
      <c r="BY7" s="199"/>
      <c r="BZ7" s="199"/>
    </row>
    <row r="8" spans="2:78" s="247" customFormat="1" ht="24" customHeight="1">
      <c r="B8" s="189"/>
      <c r="C8" s="323" t="s">
        <v>871</v>
      </c>
      <c r="D8" s="324"/>
      <c r="E8" s="325">
        <f aca="true" t="shared" si="0" ref="E8:BP8">E7/$C$9</f>
        <v>0.45364647713226197</v>
      </c>
      <c r="F8" s="325">
        <f t="shared" si="0"/>
        <v>0.48578491965389364</v>
      </c>
      <c r="G8" s="325">
        <f t="shared" si="0"/>
        <v>0.48578491965389364</v>
      </c>
      <c r="H8" s="325">
        <f t="shared" si="0"/>
        <v>0</v>
      </c>
      <c r="I8" s="325">
        <f t="shared" si="0"/>
        <v>0.32509270704573545</v>
      </c>
      <c r="J8" s="325">
        <f t="shared" si="0"/>
        <v>0.010815822002472187</v>
      </c>
      <c r="K8" s="325">
        <f t="shared" si="0"/>
        <v>0.33158220024721874</v>
      </c>
      <c r="L8" s="325">
        <f t="shared" si="0"/>
        <v>0.6711990111248454</v>
      </c>
      <c r="M8" s="325">
        <f t="shared" si="0"/>
        <v>0.38071693448702093</v>
      </c>
      <c r="N8" s="325">
        <f t="shared" si="0"/>
        <v>0.32509270704573545</v>
      </c>
      <c r="O8" s="325">
        <f t="shared" si="0"/>
        <v>0.34363411619283063</v>
      </c>
      <c r="P8" s="325">
        <f t="shared" si="0"/>
        <v>0.33127317676143386</v>
      </c>
      <c r="Q8" s="325">
        <f t="shared" si="0"/>
        <v>0.022867737948084055</v>
      </c>
      <c r="R8" s="325">
        <f t="shared" si="0"/>
        <v>0.012360939431396786</v>
      </c>
      <c r="S8" s="325">
        <f t="shared" si="0"/>
        <v>0.01668726823238566</v>
      </c>
      <c r="T8" s="325">
        <f t="shared" si="0"/>
        <v>0.34363411619283063</v>
      </c>
      <c r="U8" s="325">
        <f t="shared" si="0"/>
        <v>0.18695920889987638</v>
      </c>
      <c r="V8" s="325">
        <f t="shared" si="0"/>
        <v>0.19066749072929542</v>
      </c>
      <c r="W8" s="325">
        <f t="shared" si="0"/>
        <v>0.5058714462299134</v>
      </c>
      <c r="X8" s="325">
        <f t="shared" si="0"/>
        <v>0.024721878862793572</v>
      </c>
      <c r="Y8" s="325">
        <f t="shared" si="0"/>
        <v>0.45859085290482066</v>
      </c>
      <c r="Z8" s="325">
        <f t="shared" si="0"/>
        <v>0.006180469715698393</v>
      </c>
      <c r="AA8" s="325">
        <f t="shared" si="0"/>
        <v>0.3711372064276885</v>
      </c>
      <c r="AB8" s="325">
        <f t="shared" si="0"/>
        <v>0.5663782447466007</v>
      </c>
      <c r="AC8" s="325">
        <f t="shared" si="0"/>
        <v>0.32509270704573545</v>
      </c>
      <c r="AD8" s="325">
        <f t="shared" si="0"/>
        <v>0.5244128553770085</v>
      </c>
      <c r="AE8" s="325">
        <f t="shared" si="0"/>
        <v>0.5244128553770085</v>
      </c>
      <c r="AF8" s="325">
        <f t="shared" si="0"/>
        <v>0.1702719406674907</v>
      </c>
      <c r="AG8" s="325">
        <f t="shared" si="0"/>
        <v>0.5469715698393077</v>
      </c>
      <c r="AH8" s="325">
        <f t="shared" si="0"/>
        <v>1</v>
      </c>
      <c r="AI8" s="325">
        <f t="shared" si="0"/>
        <v>0.32509270704573545</v>
      </c>
      <c r="AJ8" s="325">
        <f t="shared" si="0"/>
        <v>0.12978986402966625</v>
      </c>
      <c r="AK8" s="325">
        <f t="shared" si="0"/>
        <v>0.0037082818294190355</v>
      </c>
      <c r="AL8" s="325">
        <f t="shared" si="0"/>
        <v>0.2391841779975278</v>
      </c>
      <c r="AM8" s="325">
        <f t="shared" si="0"/>
        <v>0.2391841779975278</v>
      </c>
      <c r="AN8" s="325">
        <f t="shared" si="0"/>
        <v>0.030902348578491962</v>
      </c>
      <c r="AO8" s="325">
        <f t="shared" si="0"/>
        <v>0.32972805933250926</v>
      </c>
      <c r="AP8" s="325">
        <f t="shared" si="0"/>
        <v>0.0037082818294190355</v>
      </c>
      <c r="AQ8" s="325">
        <f t="shared" si="0"/>
        <v>0.9907292954264523</v>
      </c>
      <c r="AR8" s="325">
        <f t="shared" si="0"/>
        <v>0.0037082818294190355</v>
      </c>
      <c r="AS8" s="325">
        <f t="shared" si="0"/>
        <v>0.026266996291718168</v>
      </c>
      <c r="AT8" s="325">
        <f t="shared" si="0"/>
        <v>0.16934487021013594</v>
      </c>
      <c r="AU8" s="325">
        <f t="shared" si="0"/>
        <v>0.46477132262051907</v>
      </c>
      <c r="AV8" s="325">
        <f t="shared" si="0"/>
        <v>0.507725587144623</v>
      </c>
      <c r="AW8" s="325">
        <f t="shared" si="0"/>
        <v>0.6118665018541408</v>
      </c>
      <c r="AX8" s="325">
        <f t="shared" si="0"/>
        <v>0.6100123609394312</v>
      </c>
      <c r="AY8" s="325">
        <f t="shared" si="0"/>
        <v>0.32509270704573545</v>
      </c>
      <c r="AZ8" s="325">
        <f t="shared" si="0"/>
        <v>0.31829419035846723</v>
      </c>
      <c r="BA8" s="325">
        <f t="shared" si="0"/>
        <v>0.5550061804697156</v>
      </c>
      <c r="BB8" s="325">
        <f t="shared" si="0"/>
        <v>0.5550061804697156</v>
      </c>
      <c r="BC8" s="325">
        <f t="shared" si="0"/>
        <v>0.5550061804697156</v>
      </c>
      <c r="BD8" s="325">
        <f t="shared" si="0"/>
        <v>0.024721878862793572</v>
      </c>
      <c r="BE8" s="325">
        <f t="shared" si="0"/>
        <v>0.026266996291718168</v>
      </c>
      <c r="BF8" s="325">
        <f t="shared" si="0"/>
        <v>0.1606922126081582</v>
      </c>
      <c r="BG8" s="325">
        <f t="shared" si="0"/>
        <v>0.19004944375772556</v>
      </c>
      <c r="BH8" s="325">
        <f t="shared" si="0"/>
        <v>0.19004944375772556</v>
      </c>
      <c r="BI8" s="325">
        <f t="shared" si="0"/>
        <v>0.5469715698393077</v>
      </c>
      <c r="BJ8" s="325">
        <f t="shared" si="0"/>
        <v>0.1668726823238566</v>
      </c>
      <c r="BK8" s="325">
        <f t="shared" si="0"/>
        <v>0.24845488257107537</v>
      </c>
      <c r="BL8" s="325">
        <f t="shared" si="0"/>
        <v>0.17212608158220025</v>
      </c>
      <c r="BM8" s="325">
        <f t="shared" si="0"/>
        <v>0</v>
      </c>
      <c r="BN8" s="325" t="e">
        <f t="shared" si="0"/>
        <v>#VALUE!</v>
      </c>
      <c r="BO8" s="325">
        <f t="shared" si="0"/>
        <v>0.9752781211372065</v>
      </c>
      <c r="BP8" s="325">
        <f t="shared" si="0"/>
        <v>0.9530284301606923</v>
      </c>
      <c r="BQ8" s="325">
        <f aca="true" t="shared" si="1" ref="BQ8:BZ8">BQ7/$C$9</f>
        <v>0.3288009888751545</v>
      </c>
      <c r="BR8" s="325">
        <f t="shared" si="1"/>
        <v>0.7377935723114957</v>
      </c>
      <c r="BS8" s="325">
        <f t="shared" si="1"/>
        <v>0</v>
      </c>
      <c r="BT8" s="325">
        <f t="shared" si="1"/>
        <v>0</v>
      </c>
      <c r="BU8" s="325">
        <f t="shared" si="1"/>
        <v>0</v>
      </c>
      <c r="BV8" s="325">
        <f t="shared" si="1"/>
        <v>0</v>
      </c>
      <c r="BW8" s="325">
        <f t="shared" si="1"/>
        <v>0</v>
      </c>
      <c r="BX8" s="325">
        <f t="shared" si="1"/>
        <v>0</v>
      </c>
      <c r="BY8" s="325">
        <f t="shared" si="1"/>
        <v>0</v>
      </c>
      <c r="BZ8" s="325">
        <f t="shared" si="1"/>
        <v>0</v>
      </c>
    </row>
    <row r="9" spans="2:58" s="326" customFormat="1" ht="24" customHeight="1">
      <c r="B9" s="189" t="s">
        <v>872</v>
      </c>
      <c r="C9" s="189">
        <f>MAX(E7:BF7)</f>
        <v>40.45</v>
      </c>
      <c r="D9" s="190"/>
      <c r="E9" s="327"/>
      <c r="F9" s="327"/>
      <c r="G9" s="327"/>
      <c r="H9" s="327"/>
      <c r="I9" s="327"/>
      <c r="J9" s="327"/>
      <c r="K9" s="327"/>
      <c r="L9" s="327"/>
      <c r="M9" s="327"/>
      <c r="N9" s="327"/>
      <c r="O9" s="327"/>
      <c r="P9" s="327"/>
      <c r="Q9" s="327"/>
      <c r="R9" s="327"/>
      <c r="S9" s="327"/>
      <c r="T9" s="327"/>
      <c r="U9" s="327"/>
      <c r="V9" s="327"/>
      <c r="W9" s="327"/>
      <c r="X9" s="327"/>
      <c r="Y9" s="327"/>
      <c r="Z9" s="327"/>
      <c r="AA9" s="327"/>
      <c r="AB9" s="327"/>
      <c r="AC9" s="327"/>
      <c r="AD9" s="327"/>
      <c r="AE9" s="327"/>
      <c r="AF9" s="327"/>
      <c r="AG9" s="327"/>
      <c r="AH9" s="327"/>
      <c r="AI9" s="327"/>
      <c r="AJ9" s="327"/>
      <c r="AK9" s="327"/>
      <c r="AL9" s="327"/>
      <c r="AM9" s="327"/>
      <c r="AN9" s="327"/>
      <c r="AO9" s="327"/>
      <c r="AP9" s="327"/>
      <c r="AQ9" s="327"/>
      <c r="AR9" s="327"/>
      <c r="AS9" s="327"/>
      <c r="AT9" s="327"/>
      <c r="AU9" s="327"/>
      <c r="AV9" s="327"/>
      <c r="AW9" s="327"/>
      <c r="AX9" s="327"/>
      <c r="AY9" s="327"/>
      <c r="AZ9" s="327"/>
      <c r="BA9" s="327"/>
      <c r="BB9" s="327"/>
      <c r="BC9" s="327"/>
      <c r="BD9" s="327"/>
      <c r="BE9" s="327"/>
      <c r="BF9" s="327"/>
    </row>
    <row r="10" spans="2:70" s="328" customFormat="1" ht="24" customHeight="1">
      <c r="B10" s="329"/>
      <c r="C10" s="329" t="s">
        <v>873</v>
      </c>
      <c r="D10" s="330"/>
      <c r="E10" s="331">
        <f>'[2]data input sheet'!E354</f>
        <v>80.7375</v>
      </c>
      <c r="F10" s="331">
        <f>'[2]data input sheet'!G354</f>
        <v>60.806250000000006</v>
      </c>
      <c r="G10" s="331">
        <f>'[2]data input sheet'!I354</f>
        <v>60.65625000000001</v>
      </c>
      <c r="H10" s="331">
        <f>'[2]data input sheet'!K354</f>
        <v>57.22500000000001</v>
      </c>
      <c r="I10" s="331">
        <f>'[2]data input sheet'!M354</f>
        <v>48.08125</v>
      </c>
      <c r="J10" s="331">
        <f>'[2]data input sheet'!O354</f>
        <v>52.85000000000001</v>
      </c>
      <c r="K10" s="331">
        <f>'[2]data input sheet'!Q354</f>
        <v>68.15</v>
      </c>
      <c r="L10" s="331" t="e">
        <f>'[2]data input sheet'!#REF!</f>
        <v>#REF!</v>
      </c>
      <c r="M10" s="331">
        <f>'[2]data input sheet'!U354</f>
        <v>61.2875</v>
      </c>
      <c r="N10" s="331">
        <f>'[2]data input sheet'!W354</f>
        <v>48.08125</v>
      </c>
      <c r="O10" s="331">
        <f>'[2]data input sheet'!Y354</f>
        <v>64.55625</v>
      </c>
      <c r="P10" s="331">
        <f>'[2]data input sheet'!AA354</f>
        <v>30.543750000000003</v>
      </c>
      <c r="Q10" s="331">
        <f>'[2]data input sheet'!AC354</f>
        <v>27.19375</v>
      </c>
      <c r="R10" s="331">
        <f>'[2]data input sheet'!AE354</f>
        <v>69.06250000000001</v>
      </c>
      <c r="S10" s="331">
        <f>'[2]data input sheet'!AG354</f>
        <v>67.1125</v>
      </c>
      <c r="T10" s="331">
        <f>'[2]data input sheet'!AI354</f>
        <v>56.724999999999994</v>
      </c>
      <c r="U10" s="331">
        <f>'[2]data input sheet'!AK354</f>
        <v>69.575</v>
      </c>
      <c r="V10" s="331">
        <f>'[2]data input sheet'!AM354</f>
        <v>69.575</v>
      </c>
      <c r="W10" s="331">
        <f>'[2]data input sheet'!AO354</f>
        <v>69.575</v>
      </c>
      <c r="X10" s="331">
        <f>'[2]data input sheet'!AQ354</f>
        <v>33.84375</v>
      </c>
      <c r="Y10" s="331">
        <f>'[2]data input sheet'!AS354</f>
        <v>62.30625</v>
      </c>
      <c r="Z10" s="331">
        <f>'[2]data input sheet'!AU354</f>
        <v>91.81874999999998</v>
      </c>
      <c r="AA10" s="331">
        <f>'[2]data input sheet'!AW354</f>
        <v>31.362500000000004</v>
      </c>
      <c r="AB10" s="331">
        <f>'[2]data input sheet'!AY354</f>
        <v>65.185</v>
      </c>
      <c r="AC10" s="331">
        <f>'[2]data input sheet'!BA354</f>
        <v>38.7625</v>
      </c>
      <c r="AD10" s="331">
        <f>'[2]data input sheet'!BC354</f>
        <v>62.99999999999999</v>
      </c>
      <c r="AE10" s="331">
        <f>'[2]data input sheet'!BE354</f>
        <v>62.99999999999999</v>
      </c>
      <c r="AF10" s="331">
        <f>'[2]data input sheet'!BG354</f>
        <v>70.11875</v>
      </c>
      <c r="AG10" s="331">
        <f>'[2]data input sheet'!BI354</f>
        <v>84.76875</v>
      </c>
      <c r="AH10" s="331">
        <f>'[2]data input sheet'!BK354</f>
        <v>102.94999999999999</v>
      </c>
      <c r="AI10" s="331">
        <f>'[2]data input sheet'!BM354</f>
        <v>57.60625</v>
      </c>
      <c r="AJ10" s="331">
        <f>'[2]data input sheet'!BO354</f>
        <v>57.706250000000004</v>
      </c>
      <c r="AK10" s="331">
        <f>'[2]data input sheet'!BQ354</f>
        <v>43.61875</v>
      </c>
      <c r="AL10" s="331">
        <f>'[2]data input sheet'!BS354</f>
        <v>77.36250000000001</v>
      </c>
      <c r="AM10" s="331">
        <f>'[2]data input sheet'!BU354</f>
        <v>77.36250000000001</v>
      </c>
      <c r="AN10" s="331">
        <f>'[2]data input sheet'!BW354</f>
        <v>79.16250000000001</v>
      </c>
      <c r="AO10" s="331">
        <f>'[2]data input sheet'!BY354</f>
        <v>59.693749999999994</v>
      </c>
      <c r="AP10" s="331">
        <f>'[2]data input sheet'!CA354</f>
        <v>58.9875</v>
      </c>
      <c r="AQ10" s="331">
        <f>'[2]data input sheet'!CC354</f>
        <v>66.75625</v>
      </c>
      <c r="AR10" s="331">
        <f>'[2]data input sheet'!CE354</f>
        <v>53.09375</v>
      </c>
      <c r="AS10" s="331">
        <f>'[2]data input sheet'!CG354</f>
        <v>53.993750000000006</v>
      </c>
      <c r="AT10" s="331">
        <f>'[2]data input sheet'!CI354</f>
        <v>72.63749999999999</v>
      </c>
      <c r="AU10" s="331">
        <f>'[2]data input sheet'!CK354</f>
        <v>65.45625000000001</v>
      </c>
      <c r="AV10" s="331">
        <f>'[2]data input sheet'!CM354</f>
        <v>56.31875</v>
      </c>
      <c r="AW10" s="331">
        <f>'[2]data input sheet'!CO354</f>
        <v>44.93749999999999</v>
      </c>
      <c r="AX10" s="331">
        <f>'[2]data input sheet'!CQ354</f>
        <v>46.262499999999996</v>
      </c>
      <c r="AY10" s="331">
        <f>'[2]data input sheet'!CS354</f>
        <v>53.71875</v>
      </c>
      <c r="AZ10" s="331">
        <f>'[2]data input sheet'!CU354</f>
        <v>65.65625</v>
      </c>
      <c r="BA10" s="331">
        <f>'[2]data input sheet'!CW354</f>
        <v>53.4375</v>
      </c>
      <c r="BB10" s="331">
        <f>'[2]data input sheet'!CY354</f>
        <v>53.4375</v>
      </c>
      <c r="BC10" s="331">
        <f>'[2]data input sheet'!DA354</f>
        <v>53.4375</v>
      </c>
      <c r="BD10" s="331">
        <f>'[2]data input sheet'!DC354</f>
        <v>45.225</v>
      </c>
      <c r="BE10" s="331">
        <f>'[2]data input sheet'!DE354</f>
        <v>63.13750000000001</v>
      </c>
      <c r="BF10" s="331">
        <f>'[2]data input sheet'!DG354</f>
        <v>68.50625</v>
      </c>
      <c r="BG10" s="328">
        <f>'[2]data input sheet'!DI354</f>
        <v>59.09375</v>
      </c>
      <c r="BH10" s="328">
        <f>'[2]data input sheet'!DK354</f>
        <v>59.09375</v>
      </c>
      <c r="BI10" s="328">
        <f>'[2]data input sheet'!DM354</f>
        <v>84.76875</v>
      </c>
      <c r="BJ10" s="328">
        <f>'[2]data input sheet'!DO354</f>
        <v>50.475</v>
      </c>
      <c r="BK10" s="328">
        <f>'[2]data input sheet'!DQ354</f>
        <v>81.875</v>
      </c>
      <c r="BL10" s="328">
        <f>'[2]data input sheet'!DS354</f>
        <v>51.050000000000004</v>
      </c>
      <c r="BM10" s="328">
        <f>'[2]data input sheet'!DU354</f>
        <v>33.80625</v>
      </c>
      <c r="BN10" s="328">
        <f>'[2]data input sheet'!DW354</f>
        <v>63.143750000000004</v>
      </c>
      <c r="BO10" s="328">
        <f>'[2]data input sheet'!DY354</f>
        <v>64.04375</v>
      </c>
      <c r="BP10" s="328">
        <f>'[2]data input sheet'!EA354</f>
        <v>63.143750000000004</v>
      </c>
      <c r="BQ10" s="328">
        <f>'[2]data input sheet'!EC354</f>
        <v>98.91875</v>
      </c>
      <c r="BR10" s="328">
        <f>'[2]data input sheet'!EE354</f>
        <v>91.3</v>
      </c>
    </row>
    <row r="11" spans="2:28" s="332" customFormat="1" ht="24" customHeight="1">
      <c r="B11" s="811" t="s">
        <v>874</v>
      </c>
      <c r="C11" s="811"/>
      <c r="D11" s="333"/>
      <c r="AB11" s="334"/>
    </row>
    <row r="12" spans="2:70" ht="24" customHeight="1">
      <c r="B12" s="812" t="s">
        <v>875</v>
      </c>
      <c r="C12" s="335" t="s">
        <v>876</v>
      </c>
      <c r="D12" s="336"/>
      <c r="E12" s="337">
        <v>194</v>
      </c>
      <c r="F12" s="337">
        <v>133</v>
      </c>
      <c r="G12" s="337">
        <v>93</v>
      </c>
      <c r="H12" s="337">
        <v>67</v>
      </c>
      <c r="I12" s="337">
        <v>162</v>
      </c>
      <c r="J12" s="338"/>
      <c r="K12" s="337" t="s">
        <v>877</v>
      </c>
      <c r="L12" s="337" t="s">
        <v>878</v>
      </c>
      <c r="M12" s="339">
        <v>40</v>
      </c>
      <c r="N12" s="337" t="s">
        <v>879</v>
      </c>
      <c r="O12" s="337">
        <v>57</v>
      </c>
      <c r="P12" s="337">
        <v>113</v>
      </c>
      <c r="Q12" s="337">
        <v>405</v>
      </c>
      <c r="R12" s="338"/>
      <c r="S12" s="338"/>
      <c r="T12" s="337">
        <v>40</v>
      </c>
      <c r="U12" s="337" t="s">
        <v>880</v>
      </c>
      <c r="V12" s="337" t="s">
        <v>880</v>
      </c>
      <c r="W12" s="337" t="s">
        <v>881</v>
      </c>
      <c r="X12" s="338"/>
      <c r="Y12" s="337" t="s">
        <v>882</v>
      </c>
      <c r="Z12" s="337" t="s">
        <v>883</v>
      </c>
      <c r="AA12" s="337" t="s">
        <v>884</v>
      </c>
      <c r="AB12" s="339" t="s">
        <v>885</v>
      </c>
      <c r="AC12" s="337" t="s">
        <v>886</v>
      </c>
      <c r="AD12" s="340" t="s">
        <v>887</v>
      </c>
      <c r="AE12" s="340" t="s">
        <v>887</v>
      </c>
      <c r="AF12" s="338"/>
      <c r="AG12" s="337">
        <v>109</v>
      </c>
      <c r="AH12" s="339" t="s">
        <v>888</v>
      </c>
      <c r="AI12" s="337">
        <v>20</v>
      </c>
      <c r="AJ12" s="338"/>
      <c r="AK12" s="337" t="s">
        <v>889</v>
      </c>
      <c r="AL12" s="338"/>
      <c r="AM12" s="338"/>
      <c r="AN12" s="339" t="s">
        <v>890</v>
      </c>
      <c r="AO12" s="337">
        <v>121</v>
      </c>
      <c r="AP12" s="337" t="s">
        <v>891</v>
      </c>
      <c r="AQ12" s="337" t="s">
        <v>892</v>
      </c>
      <c r="AR12" s="337" t="s">
        <v>878</v>
      </c>
      <c r="AS12" s="338"/>
      <c r="AT12" s="341"/>
      <c r="AU12" s="337">
        <v>69</v>
      </c>
      <c r="AV12" s="338"/>
      <c r="AW12" s="337" t="s">
        <v>893</v>
      </c>
      <c r="AX12" s="337">
        <v>23</v>
      </c>
      <c r="AY12" s="337">
        <v>142</v>
      </c>
      <c r="AZ12" s="337">
        <v>134</v>
      </c>
      <c r="BA12" s="337">
        <v>283</v>
      </c>
      <c r="BB12" s="337">
        <v>304</v>
      </c>
      <c r="BC12" s="337">
        <v>162</v>
      </c>
      <c r="BD12" s="338"/>
      <c r="BE12" s="338"/>
      <c r="BF12" s="338"/>
      <c r="BG12" s="342"/>
      <c r="BH12" s="342"/>
      <c r="BI12" s="343" t="s">
        <v>894</v>
      </c>
      <c r="BJ12" s="343" t="s">
        <v>895</v>
      </c>
      <c r="BK12" s="342"/>
      <c r="BL12" s="342"/>
      <c r="BM12" s="343" t="s">
        <v>896</v>
      </c>
      <c r="BN12" s="342"/>
      <c r="BO12" s="342"/>
      <c r="BP12" s="342"/>
      <c r="BQ12" s="342"/>
      <c r="BR12" s="342"/>
    </row>
    <row r="13" spans="2:70" ht="24" customHeight="1">
      <c r="B13" s="813"/>
      <c r="C13" s="335"/>
      <c r="D13" s="336"/>
      <c r="E13" s="337"/>
      <c r="F13" s="337"/>
      <c r="G13" s="337"/>
      <c r="H13" s="338"/>
      <c r="I13" s="338"/>
      <c r="J13" s="338"/>
      <c r="K13" s="338"/>
      <c r="L13" s="338"/>
      <c r="M13" s="338"/>
      <c r="N13" s="338"/>
      <c r="O13" s="338"/>
      <c r="P13" s="338"/>
      <c r="Q13" s="338"/>
      <c r="R13" s="338"/>
      <c r="S13" s="338"/>
      <c r="T13" s="338"/>
      <c r="U13" s="338"/>
      <c r="V13" s="338"/>
      <c r="W13" s="338"/>
      <c r="X13" s="338"/>
      <c r="Y13" s="338"/>
      <c r="Z13" s="338"/>
      <c r="AA13" s="338"/>
      <c r="AB13" s="338"/>
      <c r="AC13" s="338"/>
      <c r="AD13" s="344"/>
      <c r="AE13" s="344"/>
      <c r="AF13" s="338"/>
      <c r="AG13" s="338"/>
      <c r="AH13" s="338"/>
      <c r="AI13" s="338"/>
      <c r="AJ13" s="338"/>
      <c r="AK13" s="338"/>
      <c r="AL13" s="338"/>
      <c r="AM13" s="338"/>
      <c r="AN13" s="338"/>
      <c r="AO13" s="338"/>
      <c r="AP13" s="338"/>
      <c r="AQ13" s="338"/>
      <c r="AR13" s="338"/>
      <c r="AS13" s="338"/>
      <c r="AT13" s="341"/>
      <c r="AU13" s="338"/>
      <c r="AV13" s="338"/>
      <c r="AW13" s="338"/>
      <c r="AX13" s="338"/>
      <c r="AY13" s="338"/>
      <c r="AZ13" s="338"/>
      <c r="BA13" s="338"/>
      <c r="BB13" s="338"/>
      <c r="BC13" s="338"/>
      <c r="BD13" s="338"/>
      <c r="BE13" s="338"/>
      <c r="BF13" s="338"/>
      <c r="BG13" s="342"/>
      <c r="BH13" s="342"/>
      <c r="BI13" s="342"/>
      <c r="BJ13" s="345"/>
      <c r="BK13" s="342"/>
      <c r="BL13" s="342"/>
      <c r="BM13" s="345"/>
      <c r="BN13" s="342"/>
      <c r="BO13" s="342"/>
      <c r="BP13" s="342"/>
      <c r="BQ13" s="342"/>
      <c r="BR13" s="342"/>
    </row>
    <row r="14" spans="2:70" ht="24" customHeight="1">
      <c r="B14" s="813"/>
      <c r="C14" s="335"/>
      <c r="D14" s="336"/>
      <c r="E14" s="337">
        <f>180*5*1.2</f>
        <v>1080</v>
      </c>
      <c r="F14" s="337">
        <f>800*3*2</f>
        <v>4800</v>
      </c>
      <c r="G14" s="337">
        <f>700*3*2</f>
        <v>4200</v>
      </c>
      <c r="H14" s="338">
        <f>1000*50*4.5</f>
        <v>225000</v>
      </c>
      <c r="I14" s="338">
        <f>180*5*3</f>
        <v>2700</v>
      </c>
      <c r="J14" s="338"/>
      <c r="K14" s="338">
        <f>1000*15*2</f>
        <v>30000</v>
      </c>
      <c r="L14" s="338">
        <f>100*8*20</f>
        <v>16000</v>
      </c>
      <c r="M14" s="338">
        <f>100*100*4.8</f>
        <v>48000</v>
      </c>
      <c r="N14" s="338">
        <f>500*30*4</f>
        <v>60000</v>
      </c>
      <c r="O14" s="338">
        <f>20*15*1.5</f>
        <v>450</v>
      </c>
      <c r="P14" s="338">
        <f>200*4*1.2</f>
        <v>960</v>
      </c>
      <c r="Q14" s="338"/>
      <c r="R14" s="338"/>
      <c r="S14" s="338"/>
      <c r="T14" s="338"/>
      <c r="U14" s="338"/>
      <c r="V14" s="338"/>
      <c r="W14" s="338"/>
      <c r="X14" s="338"/>
      <c r="Y14" s="338">
        <f>600*20</f>
        <v>12000</v>
      </c>
      <c r="Z14" s="338"/>
      <c r="AA14" s="338"/>
      <c r="AB14" s="338">
        <f>20000/6300</f>
        <v>3.1746031746031744</v>
      </c>
      <c r="AC14" s="338">
        <f>100*100*3</f>
        <v>30000</v>
      </c>
      <c r="AD14" s="344"/>
      <c r="AE14" s="344"/>
      <c r="AF14" s="338"/>
      <c r="AG14" s="338">
        <f>435*8*3</f>
        <v>10440</v>
      </c>
      <c r="AH14" s="338">
        <f>500*100*8</f>
        <v>400000</v>
      </c>
      <c r="AI14" s="338">
        <f>400*2.5*6</f>
        <v>6000</v>
      </c>
      <c r="AJ14" s="338"/>
      <c r="AK14" s="338"/>
      <c r="AL14" s="338"/>
      <c r="AM14" s="338"/>
      <c r="AN14" s="338">
        <f>2*500*5</f>
        <v>5000</v>
      </c>
      <c r="AO14" s="338">
        <f>700*4*2.5</f>
        <v>7000</v>
      </c>
      <c r="AP14" s="338"/>
      <c r="AQ14" s="338"/>
      <c r="AR14" s="338">
        <f>180*4*2.5</f>
        <v>1800</v>
      </c>
      <c r="AS14" s="338"/>
      <c r="AT14" s="341"/>
      <c r="AU14" s="338">
        <f>200*50*6</f>
        <v>60000</v>
      </c>
      <c r="AV14" s="338"/>
      <c r="AW14" s="338">
        <f>500*10*0.6</f>
        <v>3000</v>
      </c>
      <c r="AX14" s="338">
        <f>460*5*0.6</f>
        <v>1380</v>
      </c>
      <c r="AY14" s="338">
        <f>13*120*3</f>
        <v>4680</v>
      </c>
      <c r="AZ14" s="338"/>
      <c r="BA14" s="338"/>
      <c r="BB14" s="338"/>
      <c r="BC14" s="338"/>
      <c r="BD14" s="338"/>
      <c r="BE14" s="338"/>
      <c r="BF14" s="338"/>
      <c r="BG14" s="342"/>
      <c r="BH14" s="342"/>
      <c r="BI14" s="342"/>
      <c r="BJ14" s="345"/>
      <c r="BK14" s="342"/>
      <c r="BL14" s="342"/>
      <c r="BM14" s="345"/>
      <c r="BN14" s="342"/>
      <c r="BO14" s="342"/>
      <c r="BP14" s="342"/>
      <c r="BQ14" s="342"/>
      <c r="BR14" s="342"/>
    </row>
    <row r="15" spans="2:70" ht="24" customHeight="1">
      <c r="B15" s="813"/>
      <c r="C15" s="335" t="s">
        <v>897</v>
      </c>
      <c r="D15" s="336"/>
      <c r="E15" s="337" t="s">
        <v>898</v>
      </c>
      <c r="F15" s="337" t="s">
        <v>899</v>
      </c>
      <c r="G15" s="337" t="s">
        <v>900</v>
      </c>
      <c r="H15" s="337" t="s">
        <v>901</v>
      </c>
      <c r="I15" s="337" t="s">
        <v>902</v>
      </c>
      <c r="J15" s="338"/>
      <c r="K15" s="337" t="s">
        <v>903</v>
      </c>
      <c r="L15" s="337" t="s">
        <v>904</v>
      </c>
      <c r="M15" s="339" t="s">
        <v>905</v>
      </c>
      <c r="N15" s="337" t="s">
        <v>906</v>
      </c>
      <c r="O15" s="337" t="s">
        <v>907</v>
      </c>
      <c r="P15" s="337" t="s">
        <v>908</v>
      </c>
      <c r="Q15" s="337" t="s">
        <v>909</v>
      </c>
      <c r="R15" s="338"/>
      <c r="S15" s="338"/>
      <c r="T15" s="337" t="s">
        <v>910</v>
      </c>
      <c r="U15" s="337" t="s">
        <v>911</v>
      </c>
      <c r="V15" s="337" t="s">
        <v>911</v>
      </c>
      <c r="W15" s="337" t="s">
        <v>912</v>
      </c>
      <c r="X15" s="338"/>
      <c r="Y15" s="337" t="s">
        <v>913</v>
      </c>
      <c r="Z15" s="337" t="s">
        <v>914</v>
      </c>
      <c r="AA15" s="337" t="s">
        <v>915</v>
      </c>
      <c r="AB15" s="339" t="s">
        <v>916</v>
      </c>
      <c r="AC15" s="337" t="s">
        <v>903</v>
      </c>
      <c r="AD15" s="340" t="s">
        <v>917</v>
      </c>
      <c r="AE15" s="340" t="s">
        <v>917</v>
      </c>
      <c r="AF15" s="338"/>
      <c r="AG15" s="337" t="s">
        <v>918</v>
      </c>
      <c r="AH15" s="339" t="s">
        <v>919</v>
      </c>
      <c r="AI15" s="337" t="s">
        <v>920</v>
      </c>
      <c r="AJ15" s="338"/>
      <c r="AK15" s="337" t="s">
        <v>921</v>
      </c>
      <c r="AL15" s="338"/>
      <c r="AM15" s="338"/>
      <c r="AN15" s="339" t="s">
        <v>912</v>
      </c>
      <c r="AO15" s="337" t="s">
        <v>922</v>
      </c>
      <c r="AP15" s="337" t="s">
        <v>923</v>
      </c>
      <c r="AQ15" s="337" t="s">
        <v>923</v>
      </c>
      <c r="AR15" s="337" t="s">
        <v>924</v>
      </c>
      <c r="AS15" s="338"/>
      <c r="AT15" s="341"/>
      <c r="AU15" s="337" t="s">
        <v>906</v>
      </c>
      <c r="AV15" s="338"/>
      <c r="AW15" s="337" t="s">
        <v>925</v>
      </c>
      <c r="AX15" s="337" t="s">
        <v>926</v>
      </c>
      <c r="AY15" s="337" t="s">
        <v>927</v>
      </c>
      <c r="AZ15" s="337" t="s">
        <v>928</v>
      </c>
      <c r="BA15" s="337" t="s">
        <v>929</v>
      </c>
      <c r="BB15" s="337" t="s">
        <v>930</v>
      </c>
      <c r="BC15" s="337" t="s">
        <v>931</v>
      </c>
      <c r="BD15" s="338"/>
      <c r="BE15" s="338"/>
      <c r="BF15" s="338"/>
      <c r="BG15" s="342"/>
      <c r="BH15" s="342"/>
      <c r="BI15" s="342" t="s">
        <v>932</v>
      </c>
      <c r="BJ15" s="343" t="s">
        <v>933</v>
      </c>
      <c r="BK15" s="342"/>
      <c r="BL15" s="342"/>
      <c r="BM15" s="345" t="s">
        <v>934</v>
      </c>
      <c r="BN15" s="342"/>
      <c r="BO15" s="342"/>
      <c r="BP15" s="342"/>
      <c r="BQ15" s="342"/>
      <c r="BR15" s="342"/>
    </row>
    <row r="16" spans="2:70" ht="24" customHeight="1">
      <c r="B16" s="813"/>
      <c r="C16" s="335"/>
      <c r="D16" s="336"/>
      <c r="E16" s="337"/>
      <c r="F16" s="337"/>
      <c r="G16" s="337"/>
      <c r="H16" s="338"/>
      <c r="I16" s="338"/>
      <c r="J16" s="338"/>
      <c r="K16" s="338"/>
      <c r="L16" s="338"/>
      <c r="M16" s="338"/>
      <c r="N16" s="338"/>
      <c r="O16" s="338"/>
      <c r="P16" s="338"/>
      <c r="Q16" s="338"/>
      <c r="R16" s="338"/>
      <c r="S16" s="338"/>
      <c r="T16" s="338"/>
      <c r="U16" s="338"/>
      <c r="V16" s="338"/>
      <c r="W16" s="338"/>
      <c r="X16" s="338"/>
      <c r="Y16" s="338"/>
      <c r="Z16" s="338"/>
      <c r="AA16" s="338"/>
      <c r="AB16" s="338"/>
      <c r="AC16" s="338"/>
      <c r="AD16" s="344"/>
      <c r="AE16" s="344"/>
      <c r="AF16" s="338"/>
      <c r="AG16" s="338"/>
      <c r="AH16" s="338"/>
      <c r="AI16" s="338"/>
      <c r="AJ16" s="338"/>
      <c r="AK16" s="338"/>
      <c r="AL16" s="338"/>
      <c r="AM16" s="338"/>
      <c r="AN16" s="338"/>
      <c r="AO16" s="338"/>
      <c r="AP16" s="338"/>
      <c r="AQ16" s="338"/>
      <c r="AR16" s="338"/>
      <c r="AS16" s="338"/>
      <c r="AT16" s="341"/>
      <c r="AU16" s="338"/>
      <c r="AV16" s="338"/>
      <c r="AW16" s="338"/>
      <c r="AX16" s="338"/>
      <c r="AY16" s="338"/>
      <c r="AZ16" s="338"/>
      <c r="BA16" s="338"/>
      <c r="BB16" s="338"/>
      <c r="BC16" s="338"/>
      <c r="BD16" s="338"/>
      <c r="BE16" s="338"/>
      <c r="BF16" s="338"/>
      <c r="BG16" s="342"/>
      <c r="BH16" s="342"/>
      <c r="BI16" s="342"/>
      <c r="BJ16" s="345"/>
      <c r="BK16" s="342"/>
      <c r="BL16" s="342"/>
      <c r="BM16" s="345"/>
      <c r="BN16" s="342"/>
      <c r="BO16" s="342"/>
      <c r="BP16" s="342"/>
      <c r="BQ16" s="342"/>
      <c r="BR16" s="342"/>
    </row>
    <row r="17" spans="2:70" ht="24" customHeight="1">
      <c r="B17" s="813"/>
      <c r="C17" s="335" t="s">
        <v>935</v>
      </c>
      <c r="D17" s="336"/>
      <c r="E17" s="346">
        <v>1</v>
      </c>
      <c r="F17" s="337">
        <v>100</v>
      </c>
      <c r="G17" s="337">
        <v>100</v>
      </c>
      <c r="H17" s="346">
        <v>1</v>
      </c>
      <c r="I17" s="337">
        <v>100</v>
      </c>
      <c r="J17" s="338"/>
      <c r="K17" s="337">
        <v>100</v>
      </c>
      <c r="L17" s="346">
        <v>1</v>
      </c>
      <c r="M17" s="347">
        <v>1</v>
      </c>
      <c r="N17" s="337">
        <v>100</v>
      </c>
      <c r="O17" s="346">
        <v>0.8</v>
      </c>
      <c r="P17" s="337">
        <v>60</v>
      </c>
      <c r="Q17" s="337">
        <v>100</v>
      </c>
      <c r="R17" s="338"/>
      <c r="S17" s="338"/>
      <c r="T17" s="346">
        <v>1</v>
      </c>
      <c r="U17" s="337">
        <v>100</v>
      </c>
      <c r="V17" s="337">
        <v>100</v>
      </c>
      <c r="W17" s="337">
        <v>100</v>
      </c>
      <c r="X17" s="338"/>
      <c r="Y17" s="337">
        <v>100</v>
      </c>
      <c r="Z17" s="337">
        <v>100</v>
      </c>
      <c r="AA17" s="346">
        <v>1</v>
      </c>
      <c r="AB17" s="339" t="s">
        <v>936</v>
      </c>
      <c r="AC17" s="337">
        <v>100</v>
      </c>
      <c r="AD17" s="340">
        <v>100</v>
      </c>
      <c r="AE17" s="340">
        <v>100</v>
      </c>
      <c r="AF17" s="338"/>
      <c r="AG17" s="337">
        <v>100</v>
      </c>
      <c r="AH17" s="347">
        <v>1</v>
      </c>
      <c r="AI17" s="337">
        <v>100</v>
      </c>
      <c r="AJ17" s="338"/>
      <c r="AK17" s="337">
        <v>100</v>
      </c>
      <c r="AL17" s="338"/>
      <c r="AM17" s="338"/>
      <c r="AN17" s="339" t="s">
        <v>937</v>
      </c>
      <c r="AO17" s="337">
        <v>100</v>
      </c>
      <c r="AP17" s="337">
        <v>66</v>
      </c>
      <c r="AQ17" s="337">
        <v>90</v>
      </c>
      <c r="AR17" s="337">
        <v>100</v>
      </c>
      <c r="AS17" s="338"/>
      <c r="AT17" s="341"/>
      <c r="AU17" s="337">
        <v>80</v>
      </c>
      <c r="AV17" s="338"/>
      <c r="AW17" s="346">
        <v>1</v>
      </c>
      <c r="AX17" s="346">
        <v>1</v>
      </c>
      <c r="AY17" s="337">
        <v>100</v>
      </c>
      <c r="AZ17" s="337">
        <v>100</v>
      </c>
      <c r="BA17" s="337">
        <v>50</v>
      </c>
      <c r="BB17" s="337">
        <v>100</v>
      </c>
      <c r="BC17" s="337">
        <v>100</v>
      </c>
      <c r="BD17" s="338"/>
      <c r="BE17" s="338"/>
      <c r="BF17" s="338"/>
      <c r="BG17" s="342"/>
      <c r="BH17" s="342"/>
      <c r="BI17" s="342">
        <v>100</v>
      </c>
      <c r="BJ17" s="343">
        <v>100</v>
      </c>
      <c r="BK17" s="342"/>
      <c r="BL17" s="342"/>
      <c r="BM17" s="345">
        <v>100</v>
      </c>
      <c r="BN17" s="342"/>
      <c r="BO17" s="342"/>
      <c r="BP17" s="342"/>
      <c r="BQ17" s="342"/>
      <c r="BR17" s="342"/>
    </row>
    <row r="18" spans="2:70" s="314" customFormat="1" ht="24" customHeight="1">
      <c r="B18" s="810"/>
      <c r="C18" s="348"/>
      <c r="D18" s="349"/>
      <c r="E18" s="350"/>
      <c r="F18" s="351"/>
      <c r="G18" s="351"/>
      <c r="H18" s="352"/>
      <c r="I18" s="352"/>
      <c r="J18" s="352"/>
      <c r="K18" s="352"/>
      <c r="L18" s="352"/>
      <c r="M18" s="352"/>
      <c r="N18" s="352"/>
      <c r="O18" s="352"/>
      <c r="P18" s="352"/>
      <c r="Q18" s="352"/>
      <c r="R18" s="352"/>
      <c r="S18" s="352"/>
      <c r="T18" s="352"/>
      <c r="U18" s="352"/>
      <c r="V18" s="352"/>
      <c r="W18" s="352"/>
      <c r="X18" s="352"/>
      <c r="Y18" s="352"/>
      <c r="Z18" s="352"/>
      <c r="AA18" s="352"/>
      <c r="AB18" s="352"/>
      <c r="AC18" s="352"/>
      <c r="AD18" s="352"/>
      <c r="AE18" s="352"/>
      <c r="AF18" s="352"/>
      <c r="AG18" s="352"/>
      <c r="AH18" s="352"/>
      <c r="AI18" s="352"/>
      <c r="AJ18" s="352"/>
      <c r="AK18" s="352"/>
      <c r="AL18" s="352"/>
      <c r="AM18" s="352"/>
      <c r="AN18" s="352"/>
      <c r="AO18" s="353"/>
      <c r="AP18" s="352"/>
      <c r="AQ18" s="352"/>
      <c r="AR18" s="353"/>
      <c r="AS18" s="353"/>
      <c r="AT18" s="353"/>
      <c r="AU18" s="352"/>
      <c r="AV18" s="352"/>
      <c r="AW18" s="352"/>
      <c r="AX18" s="353"/>
      <c r="AY18" s="353"/>
      <c r="AZ18" s="352"/>
      <c r="BA18" s="352"/>
      <c r="BB18" s="352"/>
      <c r="BC18" s="352"/>
      <c r="BD18" s="352"/>
      <c r="BE18" s="352"/>
      <c r="BF18" s="352"/>
      <c r="BG18" s="354"/>
      <c r="BH18" s="354"/>
      <c r="BI18" s="354"/>
      <c r="BJ18" s="355"/>
      <c r="BK18" s="354"/>
      <c r="BL18" s="354"/>
      <c r="BM18" s="354"/>
      <c r="BN18" s="354"/>
      <c r="BO18" s="354"/>
      <c r="BP18" s="354"/>
      <c r="BQ18" s="354"/>
      <c r="BR18" s="354"/>
    </row>
    <row r="19" spans="2:70" ht="24" customHeight="1">
      <c r="B19" s="814" t="s">
        <v>938</v>
      </c>
      <c r="C19" s="806" t="s">
        <v>942</v>
      </c>
      <c r="D19" s="356" t="s">
        <v>943</v>
      </c>
      <c r="E19" s="345">
        <v>200</v>
      </c>
      <c r="F19" s="338">
        <v>79</v>
      </c>
      <c r="G19" s="338">
        <v>79</v>
      </c>
      <c r="H19" s="338">
        <v>285</v>
      </c>
      <c r="I19" s="339">
        <v>150</v>
      </c>
      <c r="J19" s="338"/>
      <c r="K19" s="338">
        <v>127</v>
      </c>
      <c r="L19" s="338">
        <v>38</v>
      </c>
      <c r="M19" s="338">
        <v>36</v>
      </c>
      <c r="N19" s="338">
        <v>137</v>
      </c>
      <c r="O19" s="338">
        <v>132</v>
      </c>
      <c r="P19" s="338">
        <v>91</v>
      </c>
      <c r="Q19" s="338">
        <v>73</v>
      </c>
      <c r="R19" s="338">
        <v>172</v>
      </c>
      <c r="S19" s="338">
        <v>172</v>
      </c>
      <c r="T19" s="338">
        <v>91</v>
      </c>
      <c r="U19" s="338">
        <v>76</v>
      </c>
      <c r="V19" s="338">
        <v>76</v>
      </c>
      <c r="W19" s="338">
        <v>76</v>
      </c>
      <c r="X19" s="338">
        <v>130</v>
      </c>
      <c r="Y19" s="338">
        <v>191</v>
      </c>
      <c r="Z19" s="338"/>
      <c r="AA19" s="338">
        <v>231</v>
      </c>
      <c r="AB19" s="338" t="s">
        <v>944</v>
      </c>
      <c r="AC19" s="338">
        <v>101</v>
      </c>
      <c r="AD19" s="344">
        <v>106</v>
      </c>
      <c r="AE19" s="344">
        <v>106</v>
      </c>
      <c r="AF19" s="357">
        <v>173</v>
      </c>
      <c r="AG19" s="357" t="s">
        <v>945</v>
      </c>
      <c r="AH19" s="357"/>
      <c r="AI19" s="357">
        <v>141</v>
      </c>
      <c r="AJ19" s="357">
        <v>164</v>
      </c>
      <c r="AK19" s="357">
        <v>140</v>
      </c>
      <c r="AL19" s="357">
        <v>148</v>
      </c>
      <c r="AM19" s="357">
        <v>148</v>
      </c>
      <c r="AN19" s="338">
        <v>114</v>
      </c>
      <c r="AO19" s="338">
        <v>86</v>
      </c>
      <c r="AP19" s="338">
        <v>231</v>
      </c>
      <c r="AQ19" s="338">
        <v>204</v>
      </c>
      <c r="AR19" s="339">
        <v>131</v>
      </c>
      <c r="AS19" s="338">
        <v>111</v>
      </c>
      <c r="AT19" s="341">
        <v>52</v>
      </c>
      <c r="AU19" s="338">
        <v>154</v>
      </c>
      <c r="AV19" s="338">
        <v>150</v>
      </c>
      <c r="AW19" s="338">
        <v>114</v>
      </c>
      <c r="AX19" s="338">
        <v>114</v>
      </c>
      <c r="AY19" s="338">
        <v>114</v>
      </c>
      <c r="AZ19" s="338">
        <v>172</v>
      </c>
      <c r="BA19" s="338">
        <v>153</v>
      </c>
      <c r="BB19" s="338">
        <v>153</v>
      </c>
      <c r="BC19" s="338">
        <v>153</v>
      </c>
      <c r="BD19" s="357">
        <v>157</v>
      </c>
      <c r="BE19" s="338">
        <v>188</v>
      </c>
      <c r="BF19" s="338">
        <v>51</v>
      </c>
      <c r="BG19" s="342">
        <v>202</v>
      </c>
      <c r="BH19" s="342">
        <v>202</v>
      </c>
      <c r="BI19" s="342">
        <v>34</v>
      </c>
      <c r="BJ19" s="342">
        <v>129</v>
      </c>
      <c r="BK19" s="342">
        <v>27</v>
      </c>
      <c r="BL19" s="342"/>
      <c r="BM19" s="342">
        <v>124</v>
      </c>
      <c r="BN19" s="342">
        <v>32</v>
      </c>
      <c r="BO19" s="342">
        <v>32</v>
      </c>
      <c r="BP19" s="342">
        <v>32</v>
      </c>
      <c r="BQ19" s="342">
        <v>150</v>
      </c>
      <c r="BR19" s="342">
        <v>93</v>
      </c>
    </row>
    <row r="20" spans="2:70" ht="24" customHeight="1">
      <c r="B20" s="814"/>
      <c r="C20" s="807"/>
      <c r="D20" s="356" t="s">
        <v>946</v>
      </c>
      <c r="E20" s="345">
        <v>0</v>
      </c>
      <c r="F20" s="338">
        <v>40</v>
      </c>
      <c r="G20" s="338">
        <v>40</v>
      </c>
      <c r="H20" s="338">
        <v>9</v>
      </c>
      <c r="I20" s="339">
        <v>40</v>
      </c>
      <c r="J20" s="338"/>
      <c r="K20" s="338">
        <v>40</v>
      </c>
      <c r="L20" s="338">
        <v>11</v>
      </c>
      <c r="M20" s="338">
        <v>49</v>
      </c>
      <c r="N20" s="338">
        <v>7</v>
      </c>
      <c r="O20" s="338">
        <v>16</v>
      </c>
      <c r="P20" s="338">
        <v>7</v>
      </c>
      <c r="Q20" s="338">
        <v>40</v>
      </c>
      <c r="R20" s="338">
        <v>52</v>
      </c>
      <c r="S20" s="338">
        <v>52</v>
      </c>
      <c r="T20" s="338">
        <v>9</v>
      </c>
      <c r="U20" s="338">
        <v>40</v>
      </c>
      <c r="V20" s="338">
        <v>40</v>
      </c>
      <c r="W20" s="338">
        <v>40</v>
      </c>
      <c r="X20" s="338">
        <v>9</v>
      </c>
      <c r="Y20" s="338">
        <v>35</v>
      </c>
      <c r="Z20" s="338"/>
      <c r="AA20" s="338">
        <v>8</v>
      </c>
      <c r="AB20" s="338" t="s">
        <v>947</v>
      </c>
      <c r="AC20" s="338">
        <v>60</v>
      </c>
      <c r="AD20" s="344">
        <v>108</v>
      </c>
      <c r="AE20" s="344">
        <v>108</v>
      </c>
      <c r="AF20" s="357">
        <v>29</v>
      </c>
      <c r="AG20" s="357" t="s">
        <v>948</v>
      </c>
      <c r="AH20" s="357"/>
      <c r="AI20" s="357">
        <v>3</v>
      </c>
      <c r="AJ20" s="357">
        <v>10</v>
      </c>
      <c r="AK20" s="357">
        <v>30</v>
      </c>
      <c r="AL20" s="357">
        <v>37</v>
      </c>
      <c r="AM20" s="357">
        <v>37</v>
      </c>
      <c r="AN20" s="338">
        <v>6</v>
      </c>
      <c r="AO20" s="338">
        <v>28</v>
      </c>
      <c r="AP20" s="338">
        <v>72</v>
      </c>
      <c r="AQ20" s="338">
        <v>0</v>
      </c>
      <c r="AR20" s="339">
        <v>9</v>
      </c>
      <c r="AS20" s="338">
        <v>6</v>
      </c>
      <c r="AT20" s="341">
        <v>4</v>
      </c>
      <c r="AU20" s="338">
        <v>7</v>
      </c>
      <c r="AV20" s="338">
        <v>0</v>
      </c>
      <c r="AW20" s="338">
        <v>7</v>
      </c>
      <c r="AX20" s="338">
        <v>7</v>
      </c>
      <c r="AY20" s="338">
        <v>7</v>
      </c>
      <c r="AZ20" s="338">
        <v>49</v>
      </c>
      <c r="BA20" s="338">
        <v>12</v>
      </c>
      <c r="BB20" s="338">
        <v>12</v>
      </c>
      <c r="BC20" s="338">
        <v>12</v>
      </c>
      <c r="BD20" s="357">
        <v>0</v>
      </c>
      <c r="BE20" s="338">
        <v>35</v>
      </c>
      <c r="BF20" s="338">
        <v>0</v>
      </c>
      <c r="BG20" s="342">
        <v>0</v>
      </c>
      <c r="BH20" s="342">
        <v>0</v>
      </c>
      <c r="BI20" s="342">
        <v>38</v>
      </c>
      <c r="BJ20" s="342">
        <v>0</v>
      </c>
      <c r="BK20" s="342">
        <v>30</v>
      </c>
      <c r="BL20" s="342"/>
      <c r="BM20" s="342">
        <v>7</v>
      </c>
      <c r="BN20" s="342">
        <v>4</v>
      </c>
      <c r="BO20" s="342">
        <v>4</v>
      </c>
      <c r="BP20" s="342">
        <v>4</v>
      </c>
      <c r="BQ20" s="342">
        <v>30</v>
      </c>
      <c r="BR20" s="342">
        <v>8</v>
      </c>
    </row>
    <row r="21" spans="2:70" ht="24" customHeight="1">
      <c r="B21" s="814"/>
      <c r="C21" s="807"/>
      <c r="D21" s="356" t="s">
        <v>949</v>
      </c>
      <c r="E21" s="345">
        <v>0</v>
      </c>
      <c r="F21" s="338">
        <v>0</v>
      </c>
      <c r="G21" s="338">
        <v>0</v>
      </c>
      <c r="H21" s="338">
        <v>51.25</v>
      </c>
      <c r="I21" s="339">
        <v>0</v>
      </c>
      <c r="J21" s="338"/>
      <c r="K21" s="338">
        <v>0</v>
      </c>
      <c r="L21" s="338">
        <v>29</v>
      </c>
      <c r="M21" s="338">
        <v>43</v>
      </c>
      <c r="N21" s="338">
        <v>41</v>
      </c>
      <c r="O21" s="338">
        <v>70</v>
      </c>
      <c r="P21" s="338">
        <v>41</v>
      </c>
      <c r="Q21" s="338">
        <v>57</v>
      </c>
      <c r="R21" s="338">
        <v>71</v>
      </c>
      <c r="S21" s="338">
        <v>71</v>
      </c>
      <c r="T21" s="338">
        <v>23</v>
      </c>
      <c r="U21" s="338">
        <v>0</v>
      </c>
      <c r="V21" s="338">
        <v>0</v>
      </c>
      <c r="W21" s="338">
        <v>0</v>
      </c>
      <c r="X21" s="338">
        <v>51</v>
      </c>
      <c r="Y21" s="338">
        <v>42</v>
      </c>
      <c r="Z21" s="338"/>
      <c r="AA21" s="338">
        <v>45</v>
      </c>
      <c r="AB21" s="338" t="s">
        <v>950</v>
      </c>
      <c r="AC21" s="338">
        <v>97</v>
      </c>
      <c r="AD21" s="344">
        <v>108</v>
      </c>
      <c r="AE21" s="344">
        <v>108</v>
      </c>
      <c r="AF21" s="357">
        <v>40</v>
      </c>
      <c r="AG21" s="357" t="s">
        <v>951</v>
      </c>
      <c r="AH21" s="357"/>
      <c r="AI21" s="357">
        <v>16</v>
      </c>
      <c r="AJ21" s="357">
        <v>59</v>
      </c>
      <c r="AK21" s="357">
        <v>30</v>
      </c>
      <c r="AL21" s="357">
        <v>31</v>
      </c>
      <c r="AM21" s="357">
        <v>31</v>
      </c>
      <c r="AN21" s="338">
        <v>41</v>
      </c>
      <c r="AO21" s="338">
        <v>14</v>
      </c>
      <c r="AP21" s="338">
        <v>39</v>
      </c>
      <c r="AQ21" s="338">
        <v>0</v>
      </c>
      <c r="AR21" s="339">
        <v>51</v>
      </c>
      <c r="AS21" s="339">
        <v>22</v>
      </c>
      <c r="AT21" s="341">
        <v>21</v>
      </c>
      <c r="AU21" s="338">
        <v>41</v>
      </c>
      <c r="AV21" s="338">
        <v>0</v>
      </c>
      <c r="AW21" s="338">
        <v>41</v>
      </c>
      <c r="AX21" s="338">
        <v>41</v>
      </c>
      <c r="AY21" s="338">
        <v>41</v>
      </c>
      <c r="AZ21" s="338">
        <v>62</v>
      </c>
      <c r="BA21" s="338">
        <v>71</v>
      </c>
      <c r="BB21" s="338">
        <v>71</v>
      </c>
      <c r="BC21" s="338">
        <v>71</v>
      </c>
      <c r="BD21" s="357">
        <v>33</v>
      </c>
      <c r="BE21" s="338">
        <v>42</v>
      </c>
      <c r="BF21" s="338">
        <v>0</v>
      </c>
      <c r="BG21" s="342">
        <v>0</v>
      </c>
      <c r="BH21" s="342">
        <v>0</v>
      </c>
      <c r="BI21" s="342">
        <v>53</v>
      </c>
      <c r="BJ21" s="342">
        <v>57</v>
      </c>
      <c r="BK21" s="342">
        <v>25</v>
      </c>
      <c r="BL21" s="342"/>
      <c r="BM21" s="342">
        <v>41</v>
      </c>
      <c r="BN21" s="342">
        <v>20</v>
      </c>
      <c r="BO21" s="342">
        <v>20</v>
      </c>
      <c r="BP21" s="342">
        <v>20</v>
      </c>
      <c r="BQ21" s="342">
        <v>0</v>
      </c>
      <c r="BR21" s="342">
        <v>44</v>
      </c>
    </row>
    <row r="22" spans="2:70" ht="24" customHeight="1">
      <c r="B22" s="814"/>
      <c r="C22" s="807"/>
      <c r="D22" s="356" t="s">
        <v>952</v>
      </c>
      <c r="E22" s="345">
        <v>4</v>
      </c>
      <c r="F22" s="339">
        <v>51</v>
      </c>
      <c r="G22" s="339">
        <v>51</v>
      </c>
      <c r="H22" s="339">
        <v>25.25</v>
      </c>
      <c r="I22" s="339">
        <v>4</v>
      </c>
      <c r="J22" s="338"/>
      <c r="K22" s="339">
        <v>4</v>
      </c>
      <c r="L22" s="339">
        <v>34</v>
      </c>
      <c r="M22" s="339">
        <v>33</v>
      </c>
      <c r="N22" s="339">
        <v>20</v>
      </c>
      <c r="O22" s="339">
        <v>31</v>
      </c>
      <c r="P22" s="339">
        <v>20</v>
      </c>
      <c r="Q22" s="339">
        <v>4</v>
      </c>
      <c r="R22" s="339">
        <v>14</v>
      </c>
      <c r="S22" s="339">
        <v>14</v>
      </c>
      <c r="T22" s="339">
        <v>98</v>
      </c>
      <c r="U22" s="339">
        <v>52</v>
      </c>
      <c r="V22" s="339">
        <v>52</v>
      </c>
      <c r="W22" s="339">
        <v>52</v>
      </c>
      <c r="X22" s="339">
        <v>144</v>
      </c>
      <c r="Y22" s="337">
        <v>21</v>
      </c>
      <c r="Z22" s="337"/>
      <c r="AA22" s="339">
        <v>13</v>
      </c>
      <c r="AB22" s="339" t="s">
        <v>953</v>
      </c>
      <c r="AC22" s="337">
        <v>6</v>
      </c>
      <c r="AD22" s="358">
        <v>19</v>
      </c>
      <c r="AE22" s="358">
        <v>19</v>
      </c>
      <c r="AF22" s="339">
        <v>2</v>
      </c>
      <c r="AG22" s="359" t="s">
        <v>954</v>
      </c>
      <c r="AH22" s="338"/>
      <c r="AI22" s="339">
        <v>8</v>
      </c>
      <c r="AJ22" s="339">
        <v>29</v>
      </c>
      <c r="AK22" s="339">
        <v>30</v>
      </c>
      <c r="AL22" s="339">
        <v>3</v>
      </c>
      <c r="AM22" s="339">
        <v>3</v>
      </c>
      <c r="AN22" s="339">
        <v>21</v>
      </c>
      <c r="AO22" s="339">
        <v>2</v>
      </c>
      <c r="AP22" s="339">
        <v>4</v>
      </c>
      <c r="AQ22" s="339">
        <v>48</v>
      </c>
      <c r="AR22" s="339">
        <v>145</v>
      </c>
      <c r="AS22" s="345">
        <v>40</v>
      </c>
      <c r="AT22" s="360">
        <v>58</v>
      </c>
      <c r="AU22" s="339">
        <v>20</v>
      </c>
      <c r="AV22" s="339">
        <v>0</v>
      </c>
      <c r="AW22" s="339">
        <v>20</v>
      </c>
      <c r="AX22" s="339">
        <v>20</v>
      </c>
      <c r="AY22" s="339">
        <v>20</v>
      </c>
      <c r="AZ22" s="339">
        <v>25</v>
      </c>
      <c r="BA22" s="339">
        <v>35</v>
      </c>
      <c r="BB22" s="339">
        <v>35</v>
      </c>
      <c r="BC22" s="339">
        <v>35</v>
      </c>
      <c r="BD22" s="339">
        <v>16</v>
      </c>
      <c r="BE22" s="339">
        <v>21</v>
      </c>
      <c r="BF22" s="339">
        <v>60</v>
      </c>
      <c r="BG22" s="342">
        <v>24</v>
      </c>
      <c r="BH22" s="342">
        <v>24</v>
      </c>
      <c r="BI22" s="342">
        <v>3</v>
      </c>
      <c r="BJ22" s="342">
        <v>2</v>
      </c>
      <c r="BK22" s="345">
        <v>2</v>
      </c>
      <c r="BL22" s="345"/>
      <c r="BM22" s="345">
        <v>32</v>
      </c>
      <c r="BN22" s="342">
        <v>34</v>
      </c>
      <c r="BO22" s="342">
        <v>34</v>
      </c>
      <c r="BP22" s="342">
        <v>34</v>
      </c>
      <c r="BQ22" s="342">
        <v>0</v>
      </c>
      <c r="BR22" s="342">
        <v>22</v>
      </c>
    </row>
    <row r="23" spans="2:70" s="314" customFormat="1" ht="24" customHeight="1">
      <c r="B23" s="814"/>
      <c r="C23" s="808"/>
      <c r="D23" s="361" t="s">
        <v>955</v>
      </c>
      <c r="E23" s="362"/>
      <c r="F23" s="351"/>
      <c r="G23" s="351"/>
      <c r="H23" s="362"/>
      <c r="I23" s="351"/>
      <c r="J23" s="352"/>
      <c r="K23" s="351"/>
      <c r="L23" s="362"/>
      <c r="M23" s="362"/>
      <c r="N23" s="351"/>
      <c r="O23" s="362"/>
      <c r="P23" s="351"/>
      <c r="Q23" s="351"/>
      <c r="R23" s="351"/>
      <c r="S23" s="351"/>
      <c r="T23" s="362"/>
      <c r="U23" s="351"/>
      <c r="V23" s="351"/>
      <c r="W23" s="351"/>
      <c r="X23" s="351"/>
      <c r="Y23" s="351"/>
      <c r="Z23" s="363" t="s">
        <v>956</v>
      </c>
      <c r="AA23" s="362"/>
      <c r="AB23" s="362"/>
      <c r="AC23" s="351"/>
      <c r="AD23" s="351"/>
      <c r="AE23" s="351"/>
      <c r="AF23" s="351"/>
      <c r="AG23" s="351"/>
      <c r="AH23" s="352" t="s">
        <v>957</v>
      </c>
      <c r="AI23" s="351"/>
      <c r="AJ23" s="362"/>
      <c r="AK23" s="351"/>
      <c r="AL23" s="351"/>
      <c r="AM23" s="351"/>
      <c r="AN23" s="362"/>
      <c r="AO23" s="351"/>
      <c r="AP23" s="351"/>
      <c r="AQ23" s="363" t="s">
        <v>958</v>
      </c>
      <c r="AR23" s="351"/>
      <c r="AS23" s="351"/>
      <c r="AT23" s="364"/>
      <c r="AU23" s="351"/>
      <c r="AV23" s="351"/>
      <c r="AW23" s="362"/>
      <c r="AX23" s="362"/>
      <c r="AY23" s="362"/>
      <c r="AZ23" s="351"/>
      <c r="BA23" s="351"/>
      <c r="BB23" s="351"/>
      <c r="BC23" s="351"/>
      <c r="BD23" s="351"/>
      <c r="BE23" s="351"/>
      <c r="BF23" s="363" t="s">
        <v>959</v>
      </c>
      <c r="BG23" s="354"/>
      <c r="BH23" s="354"/>
      <c r="BI23" s="354"/>
      <c r="BJ23" s="354"/>
      <c r="BK23" s="365" t="s">
        <v>960</v>
      </c>
      <c r="BL23" s="365" t="s">
        <v>961</v>
      </c>
      <c r="BM23" s="362"/>
      <c r="BN23" s="362"/>
      <c r="BO23" s="362"/>
      <c r="BP23" s="362"/>
      <c r="BQ23" s="366"/>
      <c r="BR23" s="367"/>
    </row>
    <row r="24" spans="2:70" ht="24" customHeight="1">
      <c r="B24" s="814"/>
      <c r="C24" s="807" t="s">
        <v>962</v>
      </c>
      <c r="D24" s="356" t="s">
        <v>943</v>
      </c>
      <c r="E24" s="339">
        <v>204</v>
      </c>
      <c r="F24" s="339">
        <v>141</v>
      </c>
      <c r="G24" s="339">
        <v>141</v>
      </c>
      <c r="H24" s="339">
        <v>204</v>
      </c>
      <c r="I24" s="339">
        <v>204</v>
      </c>
      <c r="J24" s="338"/>
      <c r="K24" s="339">
        <v>181</v>
      </c>
      <c r="L24" s="339">
        <v>103</v>
      </c>
      <c r="M24" s="339">
        <v>338</v>
      </c>
      <c r="N24" s="339">
        <v>204</v>
      </c>
      <c r="O24" s="339">
        <v>278</v>
      </c>
      <c r="P24" s="339">
        <v>158</v>
      </c>
      <c r="Q24" s="339">
        <v>114</v>
      </c>
      <c r="R24" s="339" t="s">
        <v>963</v>
      </c>
      <c r="S24" s="339">
        <v>229</v>
      </c>
      <c r="T24" s="339">
        <v>185</v>
      </c>
      <c r="U24" s="339">
        <v>231</v>
      </c>
      <c r="V24" s="339">
        <v>234</v>
      </c>
      <c r="W24" s="339">
        <v>234</v>
      </c>
      <c r="X24" s="345">
        <v>166</v>
      </c>
      <c r="Y24" s="339">
        <v>184</v>
      </c>
      <c r="Z24" s="337"/>
      <c r="AA24" s="339">
        <v>224</v>
      </c>
      <c r="AB24" s="339">
        <v>254</v>
      </c>
      <c r="AC24" s="339">
        <v>212</v>
      </c>
      <c r="AD24" s="358">
        <v>206</v>
      </c>
      <c r="AE24" s="358">
        <v>206</v>
      </c>
      <c r="AF24" s="339">
        <v>182</v>
      </c>
      <c r="AG24" s="339">
        <v>190</v>
      </c>
      <c r="AH24" s="338"/>
      <c r="AI24" s="339">
        <v>182</v>
      </c>
      <c r="AJ24" s="339">
        <v>182</v>
      </c>
      <c r="AK24" s="339">
        <v>180</v>
      </c>
      <c r="AL24" s="339">
        <v>132</v>
      </c>
      <c r="AM24" s="339">
        <v>132</v>
      </c>
      <c r="AN24" s="339">
        <v>182</v>
      </c>
      <c r="AO24" s="339">
        <v>72</v>
      </c>
      <c r="AP24" s="337"/>
      <c r="AQ24" s="339">
        <v>159</v>
      </c>
      <c r="AR24" s="339">
        <v>103</v>
      </c>
      <c r="AS24" s="337"/>
      <c r="AT24" s="360">
        <v>140</v>
      </c>
      <c r="AU24" s="339">
        <v>182</v>
      </c>
      <c r="AV24" s="339">
        <v>250</v>
      </c>
      <c r="AW24" s="339">
        <v>136</v>
      </c>
      <c r="AX24" s="339">
        <v>136</v>
      </c>
      <c r="AY24" s="339">
        <v>229</v>
      </c>
      <c r="AZ24" s="339" t="s">
        <v>964</v>
      </c>
      <c r="BA24" s="339">
        <v>195</v>
      </c>
      <c r="BB24" s="339">
        <v>195</v>
      </c>
      <c r="BC24" s="339">
        <v>195</v>
      </c>
      <c r="BD24" s="345">
        <v>131</v>
      </c>
      <c r="BE24" s="339">
        <v>188</v>
      </c>
      <c r="BF24" s="339">
        <v>140</v>
      </c>
      <c r="BG24" s="342">
        <v>161</v>
      </c>
      <c r="BH24" s="342">
        <v>161</v>
      </c>
      <c r="BI24" s="342">
        <v>190</v>
      </c>
      <c r="BJ24" s="342"/>
      <c r="BK24" s="345">
        <v>195</v>
      </c>
      <c r="BL24" s="345">
        <v>159</v>
      </c>
      <c r="BM24" s="345">
        <v>146</v>
      </c>
      <c r="BN24" s="345">
        <v>182</v>
      </c>
      <c r="BO24" s="342">
        <v>182</v>
      </c>
      <c r="BP24" s="342">
        <v>182</v>
      </c>
      <c r="BQ24" s="342">
        <v>230</v>
      </c>
      <c r="BR24" s="368">
        <v>153</v>
      </c>
    </row>
    <row r="25" spans="2:70" ht="24" customHeight="1">
      <c r="B25" s="814"/>
      <c r="C25" s="807"/>
      <c r="D25" s="356" t="s">
        <v>946</v>
      </c>
      <c r="E25" s="339">
        <v>0</v>
      </c>
      <c r="F25" s="339">
        <v>0</v>
      </c>
      <c r="G25" s="339">
        <v>0</v>
      </c>
      <c r="H25" s="339">
        <v>0</v>
      </c>
      <c r="I25" s="339">
        <v>0</v>
      </c>
      <c r="J25" s="338"/>
      <c r="K25" s="339">
        <v>0</v>
      </c>
      <c r="L25" s="339">
        <v>0</v>
      </c>
      <c r="M25" s="339">
        <v>32</v>
      </c>
      <c r="N25" s="339">
        <v>0</v>
      </c>
      <c r="O25" s="339">
        <v>27</v>
      </c>
      <c r="P25" s="339">
        <v>0</v>
      </c>
      <c r="Q25" s="339">
        <v>12</v>
      </c>
      <c r="R25" s="339">
        <v>0</v>
      </c>
      <c r="S25" s="339">
        <v>0</v>
      </c>
      <c r="T25" s="339">
        <v>0</v>
      </c>
      <c r="U25" s="339">
        <v>20</v>
      </c>
      <c r="V25" s="339">
        <v>37</v>
      </c>
      <c r="W25" s="339">
        <v>37</v>
      </c>
      <c r="X25" s="345">
        <v>0</v>
      </c>
      <c r="Y25" s="339">
        <v>34</v>
      </c>
      <c r="Z25" s="337"/>
      <c r="AA25" s="339">
        <v>60</v>
      </c>
      <c r="AB25" s="339">
        <v>36</v>
      </c>
      <c r="AC25" s="339">
        <v>7</v>
      </c>
      <c r="AD25" s="358">
        <v>38</v>
      </c>
      <c r="AE25" s="358">
        <v>38</v>
      </c>
      <c r="AF25" s="339">
        <v>0</v>
      </c>
      <c r="AG25" s="339">
        <v>17</v>
      </c>
      <c r="AH25" s="338"/>
      <c r="AI25" s="339">
        <v>0</v>
      </c>
      <c r="AJ25" s="339">
        <v>0</v>
      </c>
      <c r="AK25" s="339">
        <v>50</v>
      </c>
      <c r="AL25" s="339">
        <v>0</v>
      </c>
      <c r="AM25" s="339">
        <v>0</v>
      </c>
      <c r="AN25" s="339">
        <v>0</v>
      </c>
      <c r="AO25" s="339">
        <v>12</v>
      </c>
      <c r="AP25" s="337"/>
      <c r="AQ25" s="339">
        <v>14</v>
      </c>
      <c r="AR25" s="339">
        <v>0</v>
      </c>
      <c r="AS25" s="337"/>
      <c r="AT25" s="360">
        <v>0</v>
      </c>
      <c r="AU25" s="339">
        <v>0</v>
      </c>
      <c r="AV25" s="339">
        <v>0</v>
      </c>
      <c r="AW25" s="339">
        <v>0</v>
      </c>
      <c r="AX25" s="339">
        <v>0</v>
      </c>
      <c r="AY25" s="339">
        <v>0</v>
      </c>
      <c r="AZ25" s="339" t="s">
        <v>965</v>
      </c>
      <c r="BA25" s="339">
        <v>7</v>
      </c>
      <c r="BB25" s="339">
        <v>7</v>
      </c>
      <c r="BC25" s="339">
        <v>7</v>
      </c>
      <c r="BD25" s="345">
        <v>24</v>
      </c>
      <c r="BE25" s="339">
        <v>35</v>
      </c>
      <c r="BF25" s="339">
        <v>0</v>
      </c>
      <c r="BG25" s="342">
        <v>0</v>
      </c>
      <c r="BH25" s="342">
        <v>0</v>
      </c>
      <c r="BI25" s="342">
        <v>17</v>
      </c>
      <c r="BJ25" s="342"/>
      <c r="BK25" s="345">
        <v>32</v>
      </c>
      <c r="BL25" s="345">
        <v>0</v>
      </c>
      <c r="BM25" s="345">
        <v>0</v>
      </c>
      <c r="BN25" s="345">
        <v>0</v>
      </c>
      <c r="BO25" s="342">
        <v>0</v>
      </c>
      <c r="BP25" s="342">
        <v>0</v>
      </c>
      <c r="BQ25" s="342">
        <v>50</v>
      </c>
      <c r="BR25" s="368">
        <v>0</v>
      </c>
    </row>
    <row r="26" spans="2:70" ht="24" customHeight="1">
      <c r="B26" s="814"/>
      <c r="C26" s="807"/>
      <c r="D26" s="356" t="s">
        <v>949</v>
      </c>
      <c r="E26" s="339">
        <v>0</v>
      </c>
      <c r="F26" s="339">
        <v>142</v>
      </c>
      <c r="G26" s="339">
        <v>142</v>
      </c>
      <c r="H26" s="339">
        <v>0</v>
      </c>
      <c r="I26" s="339">
        <v>0</v>
      </c>
      <c r="J26" s="338"/>
      <c r="K26" s="339">
        <v>0</v>
      </c>
      <c r="L26" s="339">
        <v>0</v>
      </c>
      <c r="M26" s="339">
        <v>38</v>
      </c>
      <c r="N26" s="339">
        <v>0</v>
      </c>
      <c r="O26" s="339">
        <v>0</v>
      </c>
      <c r="P26" s="339">
        <v>0</v>
      </c>
      <c r="Q26" s="339">
        <v>12</v>
      </c>
      <c r="R26" s="339" t="s">
        <v>966</v>
      </c>
      <c r="S26" s="339">
        <v>52</v>
      </c>
      <c r="T26" s="339">
        <v>22</v>
      </c>
      <c r="U26" s="339">
        <v>58</v>
      </c>
      <c r="V26" s="339">
        <v>0</v>
      </c>
      <c r="W26" s="339">
        <v>0</v>
      </c>
      <c r="X26" s="345">
        <v>71</v>
      </c>
      <c r="Y26" s="339">
        <v>41</v>
      </c>
      <c r="Z26" s="337"/>
      <c r="AA26" s="339">
        <v>83</v>
      </c>
      <c r="AB26" s="339">
        <v>29</v>
      </c>
      <c r="AC26" s="339">
        <v>41</v>
      </c>
      <c r="AD26" s="358">
        <v>46</v>
      </c>
      <c r="AE26" s="358">
        <v>46</v>
      </c>
      <c r="AF26" s="339">
        <v>0</v>
      </c>
      <c r="AG26" s="339">
        <v>47</v>
      </c>
      <c r="AH26" s="338"/>
      <c r="AI26" s="339">
        <v>0</v>
      </c>
      <c r="AJ26" s="339">
        <v>0</v>
      </c>
      <c r="AK26" s="339">
        <v>50</v>
      </c>
      <c r="AL26" s="339">
        <v>0</v>
      </c>
      <c r="AM26" s="339">
        <v>0</v>
      </c>
      <c r="AN26" s="339">
        <v>0</v>
      </c>
      <c r="AO26" s="339">
        <v>14</v>
      </c>
      <c r="AP26" s="337"/>
      <c r="AQ26" s="339">
        <v>40</v>
      </c>
      <c r="AR26" s="339">
        <v>0</v>
      </c>
      <c r="AS26" s="337"/>
      <c r="AT26" s="360">
        <v>32</v>
      </c>
      <c r="AU26" s="339">
        <v>0</v>
      </c>
      <c r="AV26" s="339">
        <v>0</v>
      </c>
      <c r="AW26" s="339">
        <v>0</v>
      </c>
      <c r="AX26" s="339">
        <v>0</v>
      </c>
      <c r="AY26" s="339">
        <v>62</v>
      </c>
      <c r="AZ26" s="339" t="s">
        <v>967</v>
      </c>
      <c r="BA26" s="339">
        <v>38</v>
      </c>
      <c r="BB26" s="339">
        <v>38</v>
      </c>
      <c r="BC26" s="339">
        <v>38</v>
      </c>
      <c r="BD26" s="345">
        <v>29</v>
      </c>
      <c r="BE26" s="339">
        <v>42</v>
      </c>
      <c r="BF26" s="339">
        <v>32</v>
      </c>
      <c r="BG26" s="342">
        <v>0</v>
      </c>
      <c r="BH26" s="342">
        <v>0</v>
      </c>
      <c r="BI26" s="342">
        <v>47</v>
      </c>
      <c r="BJ26" s="342"/>
      <c r="BK26" s="345">
        <v>39</v>
      </c>
      <c r="BL26" s="345">
        <v>0</v>
      </c>
      <c r="BM26" s="345">
        <v>40</v>
      </c>
      <c r="BN26" s="345">
        <v>0</v>
      </c>
      <c r="BO26" s="342">
        <v>0</v>
      </c>
      <c r="BP26" s="342">
        <v>0</v>
      </c>
      <c r="BQ26" s="342">
        <v>0</v>
      </c>
      <c r="BR26" s="368">
        <v>0</v>
      </c>
    </row>
    <row r="27" spans="2:70" ht="24" customHeight="1">
      <c r="B27" s="814"/>
      <c r="C27" s="807"/>
      <c r="D27" s="356" t="s">
        <v>952</v>
      </c>
      <c r="E27" s="339">
        <v>0</v>
      </c>
      <c r="F27" s="339">
        <v>0</v>
      </c>
      <c r="G27" s="339">
        <v>0</v>
      </c>
      <c r="H27" s="339">
        <v>0</v>
      </c>
      <c r="I27" s="339">
        <v>0</v>
      </c>
      <c r="J27" s="338"/>
      <c r="K27" s="339">
        <v>0</v>
      </c>
      <c r="L27" s="339">
        <v>120</v>
      </c>
      <c r="M27" s="339">
        <v>20</v>
      </c>
      <c r="N27" s="339">
        <v>0</v>
      </c>
      <c r="O27" s="339">
        <v>28</v>
      </c>
      <c r="P27" s="339">
        <v>0</v>
      </c>
      <c r="Q27" s="339">
        <v>0</v>
      </c>
      <c r="R27" s="339" t="s">
        <v>968</v>
      </c>
      <c r="S27" s="339">
        <v>19</v>
      </c>
      <c r="T27" s="339">
        <v>38</v>
      </c>
      <c r="U27" s="339">
        <v>19</v>
      </c>
      <c r="V27" s="339">
        <v>3</v>
      </c>
      <c r="W27" s="339">
        <v>3</v>
      </c>
      <c r="X27" s="345">
        <v>36</v>
      </c>
      <c r="Y27" s="339">
        <v>21</v>
      </c>
      <c r="Z27" s="337"/>
      <c r="AA27" s="339">
        <v>22</v>
      </c>
      <c r="AB27" s="339">
        <v>15</v>
      </c>
      <c r="AC27" s="339">
        <v>12</v>
      </c>
      <c r="AD27" s="358">
        <v>23</v>
      </c>
      <c r="AE27" s="358">
        <v>23</v>
      </c>
      <c r="AF27" s="339">
        <v>0</v>
      </c>
      <c r="AG27" s="339">
        <v>15</v>
      </c>
      <c r="AH27" s="338"/>
      <c r="AI27" s="339">
        <v>0</v>
      </c>
      <c r="AJ27" s="339">
        <v>0</v>
      </c>
      <c r="AK27" s="339">
        <v>50</v>
      </c>
      <c r="AL27" s="339">
        <v>0</v>
      </c>
      <c r="AM27" s="339">
        <v>0</v>
      </c>
      <c r="AN27" s="339">
        <v>0</v>
      </c>
      <c r="AO27" s="339">
        <v>0</v>
      </c>
      <c r="AP27" s="337"/>
      <c r="AQ27" s="339">
        <v>13</v>
      </c>
      <c r="AR27" s="339">
        <v>120</v>
      </c>
      <c r="AS27" s="337"/>
      <c r="AT27" s="360">
        <v>11</v>
      </c>
      <c r="AU27" s="339">
        <v>0</v>
      </c>
      <c r="AV27" s="339">
        <v>0</v>
      </c>
      <c r="AW27" s="339">
        <v>0</v>
      </c>
      <c r="AX27" s="339">
        <v>0</v>
      </c>
      <c r="AY27" s="339">
        <v>0</v>
      </c>
      <c r="AZ27" s="339" t="s">
        <v>969</v>
      </c>
      <c r="BA27" s="339">
        <v>11</v>
      </c>
      <c r="BB27" s="339">
        <v>11</v>
      </c>
      <c r="BC27" s="339">
        <v>11</v>
      </c>
      <c r="BD27" s="345">
        <v>15</v>
      </c>
      <c r="BE27" s="339">
        <v>21</v>
      </c>
      <c r="BF27" s="339">
        <v>11</v>
      </c>
      <c r="BG27" s="342">
        <v>19</v>
      </c>
      <c r="BH27" s="342">
        <v>19</v>
      </c>
      <c r="BI27" s="342">
        <v>15</v>
      </c>
      <c r="BJ27" s="342"/>
      <c r="BK27" s="345">
        <v>0</v>
      </c>
      <c r="BL27" s="345">
        <v>21</v>
      </c>
      <c r="BM27" s="345">
        <v>0</v>
      </c>
      <c r="BN27" s="345">
        <v>0</v>
      </c>
      <c r="BO27" s="342">
        <v>0</v>
      </c>
      <c r="BP27" s="342">
        <v>0</v>
      </c>
      <c r="BQ27" s="342">
        <v>0</v>
      </c>
      <c r="BR27" s="368">
        <v>18</v>
      </c>
    </row>
    <row r="28" spans="2:70" s="314" customFormat="1" ht="24" customHeight="1">
      <c r="B28" s="814"/>
      <c r="C28" s="808"/>
      <c r="D28" s="361" t="s">
        <v>955</v>
      </c>
      <c r="E28" s="362"/>
      <c r="F28" s="351"/>
      <c r="G28" s="351"/>
      <c r="H28" s="362"/>
      <c r="I28" s="351"/>
      <c r="J28" s="352"/>
      <c r="K28" s="351"/>
      <c r="L28" s="362"/>
      <c r="M28" s="362"/>
      <c r="N28" s="351"/>
      <c r="O28" s="362"/>
      <c r="P28" s="351"/>
      <c r="Q28" s="351"/>
      <c r="R28" s="351"/>
      <c r="S28" s="362"/>
      <c r="T28" s="362"/>
      <c r="U28" s="351"/>
      <c r="V28" s="352"/>
      <c r="W28" s="352"/>
      <c r="X28" s="351"/>
      <c r="Y28" s="351"/>
      <c r="Z28" s="363" t="s">
        <v>970</v>
      </c>
      <c r="AA28" s="362"/>
      <c r="AB28" s="362"/>
      <c r="AC28" s="351"/>
      <c r="AD28" s="351"/>
      <c r="AE28" s="351"/>
      <c r="AF28" s="351"/>
      <c r="AG28" s="351"/>
      <c r="AH28" s="352"/>
      <c r="AI28" s="351"/>
      <c r="AJ28" s="362"/>
      <c r="AK28" s="351"/>
      <c r="AL28" s="351"/>
      <c r="AM28" s="351"/>
      <c r="AN28" s="362"/>
      <c r="AO28" s="351"/>
      <c r="AP28" s="363" t="s">
        <v>971</v>
      </c>
      <c r="AQ28" s="351"/>
      <c r="AR28" s="351"/>
      <c r="AS28" s="355"/>
      <c r="AT28" s="364"/>
      <c r="AU28" s="351"/>
      <c r="AV28" s="351"/>
      <c r="AW28" s="362"/>
      <c r="AX28" s="362"/>
      <c r="AY28" s="351"/>
      <c r="AZ28" s="351"/>
      <c r="BA28" s="351"/>
      <c r="BB28" s="351"/>
      <c r="BC28" s="351"/>
      <c r="BD28" s="351"/>
      <c r="BE28" s="351"/>
      <c r="BF28" s="351"/>
      <c r="BG28" s="354"/>
      <c r="BH28" s="354"/>
      <c r="BI28" s="354"/>
      <c r="BJ28" s="354"/>
      <c r="BK28" s="369"/>
      <c r="BL28" s="369"/>
      <c r="BM28" s="362"/>
      <c r="BN28" s="369"/>
      <c r="BO28" s="369"/>
      <c r="BP28" s="369"/>
      <c r="BQ28" s="366"/>
      <c r="BR28" s="367"/>
    </row>
    <row r="29" spans="2:70" ht="24" customHeight="1">
      <c r="B29" s="810" t="s">
        <v>972</v>
      </c>
      <c r="C29" s="370" t="s">
        <v>942</v>
      </c>
      <c r="D29" s="371"/>
      <c r="E29" s="337"/>
      <c r="F29" s="337" t="s">
        <v>973</v>
      </c>
      <c r="G29" s="337" t="s">
        <v>973</v>
      </c>
      <c r="H29" s="338"/>
      <c r="I29" s="337"/>
      <c r="J29" s="338"/>
      <c r="K29" s="338"/>
      <c r="L29" s="337"/>
      <c r="M29" s="338"/>
      <c r="N29" s="338"/>
      <c r="O29" s="338"/>
      <c r="P29" s="338"/>
      <c r="Q29" s="337"/>
      <c r="R29" s="338"/>
      <c r="S29" s="339" t="s">
        <v>974</v>
      </c>
      <c r="T29" s="339" t="s">
        <v>975</v>
      </c>
      <c r="U29" s="338"/>
      <c r="V29" s="338"/>
      <c r="W29" s="337"/>
      <c r="X29" s="338"/>
      <c r="Y29" s="337" t="s">
        <v>976</v>
      </c>
      <c r="Z29" s="338"/>
      <c r="AA29" s="338"/>
      <c r="AB29" s="339" t="s">
        <v>977</v>
      </c>
      <c r="AC29" s="338"/>
      <c r="AD29" s="344"/>
      <c r="AE29" s="338"/>
      <c r="AF29" s="337" t="s">
        <v>978</v>
      </c>
      <c r="AG29" s="338"/>
      <c r="AH29" s="338"/>
      <c r="AI29" s="338"/>
      <c r="AJ29" s="338"/>
      <c r="AK29" s="338"/>
      <c r="AL29" s="337" t="s">
        <v>979</v>
      </c>
      <c r="AM29" s="337" t="s">
        <v>979</v>
      </c>
      <c r="AN29" s="338"/>
      <c r="AO29" s="338"/>
      <c r="AP29" s="338"/>
      <c r="AQ29" s="337" t="s">
        <v>980</v>
      </c>
      <c r="AR29" s="338"/>
      <c r="AS29" s="337" t="s">
        <v>981</v>
      </c>
      <c r="AT29" s="360" t="s">
        <v>982</v>
      </c>
      <c r="AU29" s="337" t="s">
        <v>983</v>
      </c>
      <c r="AV29" s="338"/>
      <c r="AW29" s="338"/>
      <c r="AX29" s="338"/>
      <c r="AY29" s="338"/>
      <c r="AZ29" s="338"/>
      <c r="BA29" s="338"/>
      <c r="BB29" s="338"/>
      <c r="BC29" s="338"/>
      <c r="BD29" s="338"/>
      <c r="BE29" s="338"/>
      <c r="BF29" s="337" t="s">
        <v>984</v>
      </c>
      <c r="BG29" s="342"/>
      <c r="BH29" s="342"/>
      <c r="BI29" s="342"/>
      <c r="BJ29" s="342"/>
      <c r="BK29" s="337" t="s">
        <v>985</v>
      </c>
      <c r="BL29" s="345"/>
      <c r="BM29" s="342"/>
      <c r="BN29" s="342"/>
      <c r="BO29" s="342"/>
      <c r="BP29" s="342"/>
      <c r="BQ29" s="342"/>
      <c r="BR29" s="342"/>
    </row>
    <row r="30" spans="2:70" s="314" customFormat="1" ht="24" customHeight="1">
      <c r="B30" s="810"/>
      <c r="C30" s="372" t="s">
        <v>962</v>
      </c>
      <c r="D30" s="373"/>
      <c r="E30" s="352"/>
      <c r="F30" s="352"/>
      <c r="G30" s="352"/>
      <c r="H30" s="351"/>
      <c r="I30" s="351"/>
      <c r="J30" s="352"/>
      <c r="K30" s="352"/>
      <c r="L30" s="351"/>
      <c r="M30" s="352"/>
      <c r="N30" s="352"/>
      <c r="O30" s="352"/>
      <c r="P30" s="352"/>
      <c r="Q30" s="352"/>
      <c r="R30" s="352"/>
      <c r="S30" s="352"/>
      <c r="T30" s="352"/>
      <c r="U30" s="352"/>
      <c r="V30" s="352"/>
      <c r="W30" s="351"/>
      <c r="X30" s="352"/>
      <c r="Y30" s="352"/>
      <c r="Z30" s="352"/>
      <c r="AA30" s="352"/>
      <c r="AB30" s="351"/>
      <c r="AC30" s="352"/>
      <c r="AD30" s="352"/>
      <c r="AE30" s="352"/>
      <c r="AF30" s="351" t="s">
        <v>986</v>
      </c>
      <c r="AG30" s="352"/>
      <c r="AH30" s="352"/>
      <c r="AI30" s="352"/>
      <c r="AJ30" s="352"/>
      <c r="AK30" s="352"/>
      <c r="AL30" s="351" t="s">
        <v>987</v>
      </c>
      <c r="AM30" s="352"/>
      <c r="AN30" s="352"/>
      <c r="AO30" s="352"/>
      <c r="AP30" s="352"/>
      <c r="AQ30" s="352"/>
      <c r="AR30" s="352"/>
      <c r="AS30" s="351" t="s">
        <v>847</v>
      </c>
      <c r="AT30" s="374"/>
      <c r="AU30" s="351" t="s">
        <v>983</v>
      </c>
      <c r="AV30" s="352"/>
      <c r="AW30" s="352"/>
      <c r="AX30" s="352"/>
      <c r="AY30" s="352"/>
      <c r="AZ30" s="352"/>
      <c r="BA30" s="352"/>
      <c r="BB30" s="352"/>
      <c r="BC30" s="352"/>
      <c r="BD30" s="352"/>
      <c r="BE30" s="352"/>
      <c r="BF30" s="351" t="s">
        <v>984</v>
      </c>
      <c r="BG30" s="354"/>
      <c r="BH30" s="354"/>
      <c r="BI30" s="354"/>
      <c r="BJ30" s="354"/>
      <c r="BK30" s="355"/>
      <c r="BL30" s="355"/>
      <c r="BM30" s="366"/>
      <c r="BN30" s="366"/>
      <c r="BO30" s="354"/>
      <c r="BP30" s="354"/>
      <c r="BQ30" s="354"/>
      <c r="BR30" s="354"/>
    </row>
    <row r="31" spans="3:70" ht="24" customHeight="1">
      <c r="C31" s="375"/>
      <c r="D31" s="371"/>
      <c r="E31" s="338"/>
      <c r="F31" s="337"/>
      <c r="G31" s="338"/>
      <c r="H31" s="337"/>
      <c r="I31" s="337"/>
      <c r="J31" s="338"/>
      <c r="K31" s="338"/>
      <c r="L31" s="337"/>
      <c r="M31" s="338"/>
      <c r="N31" s="338"/>
      <c r="O31" s="338"/>
      <c r="P31" s="338"/>
      <c r="Q31" s="338"/>
      <c r="R31" s="338"/>
      <c r="S31" s="338"/>
      <c r="T31" s="338"/>
      <c r="U31" s="338"/>
      <c r="V31" s="338"/>
      <c r="W31" s="338"/>
      <c r="X31" s="338"/>
      <c r="Y31" s="338"/>
      <c r="Z31" s="338"/>
      <c r="AA31" s="338"/>
      <c r="AB31" s="338"/>
      <c r="AC31" s="338"/>
      <c r="AD31" s="344"/>
      <c r="AE31" s="338"/>
      <c r="AF31" s="338"/>
      <c r="AG31" s="338"/>
      <c r="AH31" s="338"/>
      <c r="AI31" s="338"/>
      <c r="AJ31" s="338"/>
      <c r="AK31" s="338"/>
      <c r="AL31" s="338"/>
      <c r="AM31" s="338"/>
      <c r="AN31" s="338"/>
      <c r="AO31" s="338"/>
      <c r="AP31" s="338"/>
      <c r="AQ31" s="338"/>
      <c r="AR31" s="338"/>
      <c r="AS31" s="338"/>
      <c r="AT31" s="341"/>
      <c r="AU31" s="338"/>
      <c r="AV31" s="338"/>
      <c r="AW31" s="338"/>
      <c r="AX31" s="338"/>
      <c r="AY31" s="338"/>
      <c r="AZ31" s="338"/>
      <c r="BA31" s="338"/>
      <c r="BB31" s="338"/>
      <c r="BC31" s="338"/>
      <c r="BD31" s="338"/>
      <c r="BE31" s="338"/>
      <c r="BF31" s="338"/>
      <c r="BG31" s="342"/>
      <c r="BH31" s="342"/>
      <c r="BI31" s="342"/>
      <c r="BJ31" s="342"/>
      <c r="BK31" s="345"/>
      <c r="BL31" s="345"/>
      <c r="BM31" s="376"/>
      <c r="BN31" s="342"/>
      <c r="BO31" s="342"/>
      <c r="BP31" s="342"/>
      <c r="BQ31" s="342"/>
      <c r="BR31" s="342"/>
    </row>
    <row r="32" spans="2:72" ht="24" customHeight="1">
      <c r="B32" s="810" t="s">
        <v>988</v>
      </c>
      <c r="C32" s="335" t="s">
        <v>989</v>
      </c>
      <c r="D32" s="336"/>
      <c r="E32" s="337" t="s">
        <v>990</v>
      </c>
      <c r="F32" s="337" t="s">
        <v>991</v>
      </c>
      <c r="G32" s="337" t="s">
        <v>992</v>
      </c>
      <c r="H32" s="337"/>
      <c r="I32" s="337" t="s">
        <v>993</v>
      </c>
      <c r="J32" s="338"/>
      <c r="K32" s="337" t="s">
        <v>994</v>
      </c>
      <c r="L32" s="337" t="s">
        <v>995</v>
      </c>
      <c r="M32" s="339" t="s">
        <v>996</v>
      </c>
      <c r="N32" s="337" t="s">
        <v>993</v>
      </c>
      <c r="O32" s="337" t="s">
        <v>997</v>
      </c>
      <c r="P32" s="337" t="s">
        <v>998</v>
      </c>
      <c r="Q32" s="337" t="s">
        <v>999</v>
      </c>
      <c r="R32" s="337" t="s">
        <v>1000</v>
      </c>
      <c r="S32" s="339" t="s">
        <v>1001</v>
      </c>
      <c r="T32" s="337" t="s">
        <v>1002</v>
      </c>
      <c r="U32" s="337" t="s">
        <v>1003</v>
      </c>
      <c r="V32" s="337" t="s">
        <v>1004</v>
      </c>
      <c r="W32" s="337" t="s">
        <v>1004</v>
      </c>
      <c r="X32" s="338"/>
      <c r="Y32" s="337" t="s">
        <v>1005</v>
      </c>
      <c r="Z32" s="337" t="s">
        <v>1006</v>
      </c>
      <c r="AA32" s="338"/>
      <c r="AB32" s="339" t="s">
        <v>1007</v>
      </c>
      <c r="AC32" s="337" t="s">
        <v>1008</v>
      </c>
      <c r="AD32" s="340" t="s">
        <v>1009</v>
      </c>
      <c r="AE32" s="340" t="s">
        <v>1009</v>
      </c>
      <c r="AF32" s="340" t="s">
        <v>1010</v>
      </c>
      <c r="AG32" s="340" t="s">
        <v>1011</v>
      </c>
      <c r="AH32" s="339" t="s">
        <v>1012</v>
      </c>
      <c r="AI32" s="340" t="s">
        <v>1013</v>
      </c>
      <c r="AJ32" s="337" t="s">
        <v>1014</v>
      </c>
      <c r="AK32" s="340" t="s">
        <v>1015</v>
      </c>
      <c r="AL32" s="337" t="s">
        <v>1016</v>
      </c>
      <c r="AM32" s="337" t="s">
        <v>1016</v>
      </c>
      <c r="AN32" s="339" t="s">
        <v>1017</v>
      </c>
      <c r="AO32" s="340" t="s">
        <v>1018</v>
      </c>
      <c r="AP32" s="340" t="s">
        <v>1019</v>
      </c>
      <c r="AQ32" s="340" t="s">
        <v>1020</v>
      </c>
      <c r="AR32" s="340" t="s">
        <v>1021</v>
      </c>
      <c r="AS32" s="337" t="s">
        <v>1020</v>
      </c>
      <c r="AT32" s="377" t="s">
        <v>1022</v>
      </c>
      <c r="AU32" s="377" t="s">
        <v>1023</v>
      </c>
      <c r="AV32" s="340" t="s">
        <v>1024</v>
      </c>
      <c r="AW32" s="337" t="s">
        <v>1025</v>
      </c>
      <c r="AX32" s="337" t="s">
        <v>1026</v>
      </c>
      <c r="AY32" s="377" t="s">
        <v>1027</v>
      </c>
      <c r="AZ32" s="340" t="s">
        <v>1028</v>
      </c>
      <c r="BA32" s="337"/>
      <c r="BB32" s="338"/>
      <c r="BC32" s="338"/>
      <c r="BD32" s="338"/>
      <c r="BE32" s="338"/>
      <c r="BF32" s="340" t="s">
        <v>1029</v>
      </c>
      <c r="BG32" s="368" t="s">
        <v>1030</v>
      </c>
      <c r="BH32" s="368" t="s">
        <v>1030</v>
      </c>
      <c r="BI32" s="368" t="s">
        <v>1031</v>
      </c>
      <c r="BJ32" s="376"/>
      <c r="BK32" s="339" t="s">
        <v>1032</v>
      </c>
      <c r="BL32" s="338" t="s">
        <v>1033</v>
      </c>
      <c r="BM32" s="339" t="s">
        <v>1034</v>
      </c>
      <c r="BN32" s="358" t="s">
        <v>1035</v>
      </c>
      <c r="BO32" s="358" t="s">
        <v>1035</v>
      </c>
      <c r="BP32" s="358" t="s">
        <v>1035</v>
      </c>
      <c r="BQ32" s="368" t="s">
        <v>1036</v>
      </c>
      <c r="BR32" s="368" t="s">
        <v>1053</v>
      </c>
      <c r="BT32" s="378"/>
    </row>
    <row r="33" spans="2:72" ht="24" customHeight="1">
      <c r="B33" s="810"/>
      <c r="C33" s="335"/>
      <c r="D33" s="336"/>
      <c r="E33" s="338"/>
      <c r="F33" s="337"/>
      <c r="G33" s="337"/>
      <c r="H33" s="338"/>
      <c r="I33" s="337"/>
      <c r="J33" s="338"/>
      <c r="K33" s="338"/>
      <c r="L33" s="338"/>
      <c r="M33" s="338"/>
      <c r="N33" s="338"/>
      <c r="O33" s="338"/>
      <c r="P33" s="338"/>
      <c r="Q33" s="338"/>
      <c r="R33" s="338"/>
      <c r="S33" s="338"/>
      <c r="T33" s="338"/>
      <c r="U33" s="338"/>
      <c r="V33" s="338"/>
      <c r="W33" s="338"/>
      <c r="X33" s="338"/>
      <c r="Y33" s="338"/>
      <c r="Z33" s="338"/>
      <c r="AA33" s="338"/>
      <c r="AB33" s="338"/>
      <c r="AC33" s="338"/>
      <c r="AD33" s="344"/>
      <c r="AE33" s="338"/>
      <c r="AF33" s="338"/>
      <c r="AG33" s="337"/>
      <c r="AH33" s="338"/>
      <c r="AI33" s="338"/>
      <c r="AJ33" s="338"/>
      <c r="AK33" s="338"/>
      <c r="AL33" s="337"/>
      <c r="AM33" s="338"/>
      <c r="AN33" s="338"/>
      <c r="AO33" s="338"/>
      <c r="AP33" s="338"/>
      <c r="AQ33" s="337"/>
      <c r="AR33" s="338"/>
      <c r="AS33" s="338"/>
      <c r="AT33" s="341"/>
      <c r="AU33" s="338"/>
      <c r="AV33" s="337"/>
      <c r="AW33" s="338"/>
      <c r="AX33" s="338"/>
      <c r="AY33" s="338"/>
      <c r="AZ33" s="337"/>
      <c r="BA33" s="337"/>
      <c r="BB33" s="338"/>
      <c r="BC33" s="338"/>
      <c r="BD33" s="338"/>
      <c r="BE33" s="338"/>
      <c r="BF33" s="338"/>
      <c r="BG33" s="342"/>
      <c r="BH33" s="342"/>
      <c r="BI33" s="342"/>
      <c r="BJ33" s="376"/>
      <c r="BK33" s="379"/>
      <c r="BL33" s="345"/>
      <c r="BM33" s="376"/>
      <c r="BN33" s="380"/>
      <c r="BO33" s="368"/>
      <c r="BP33" s="342"/>
      <c r="BQ33" s="342"/>
      <c r="BR33" s="342"/>
      <c r="BT33" s="378"/>
    </row>
    <row r="34" spans="2:72" s="314" customFormat="1" ht="24" customHeight="1">
      <c r="B34" s="810"/>
      <c r="C34" s="361" t="s">
        <v>1054</v>
      </c>
      <c r="D34" s="349"/>
      <c r="E34" s="351" t="s">
        <v>1055</v>
      </c>
      <c r="F34" s="351"/>
      <c r="G34" s="351"/>
      <c r="H34" s="362"/>
      <c r="I34" s="351"/>
      <c r="J34" s="352"/>
      <c r="K34" s="352"/>
      <c r="L34" s="352"/>
      <c r="M34" s="352"/>
      <c r="N34" s="352"/>
      <c r="O34" s="352"/>
      <c r="P34" s="352"/>
      <c r="Q34" s="352"/>
      <c r="R34" s="351" t="s">
        <v>1056</v>
      </c>
      <c r="S34" s="362" t="s">
        <v>1057</v>
      </c>
      <c r="T34" s="351" t="s">
        <v>1058</v>
      </c>
      <c r="U34" s="352"/>
      <c r="V34" s="352"/>
      <c r="W34" s="352"/>
      <c r="X34" s="352"/>
      <c r="Y34" s="352"/>
      <c r="Z34" s="352"/>
      <c r="AA34" s="352"/>
      <c r="AB34" s="352"/>
      <c r="AC34" s="352"/>
      <c r="AD34" s="352"/>
      <c r="AE34" s="352"/>
      <c r="AF34" s="352"/>
      <c r="AG34" s="351"/>
      <c r="AH34" s="362" t="s">
        <v>1059</v>
      </c>
      <c r="AI34" s="352"/>
      <c r="AJ34" s="351" t="s">
        <v>1060</v>
      </c>
      <c r="AK34" s="352"/>
      <c r="AL34" s="351"/>
      <c r="AM34" s="352"/>
      <c r="AN34" s="352"/>
      <c r="AO34" s="352"/>
      <c r="AP34" s="351" t="s">
        <v>1061</v>
      </c>
      <c r="AQ34" s="351"/>
      <c r="AR34" s="352"/>
      <c r="AS34" s="352"/>
      <c r="AT34" s="381" t="s">
        <v>1062</v>
      </c>
      <c r="AU34" s="352"/>
      <c r="AV34" s="351"/>
      <c r="AW34" s="351" t="s">
        <v>1063</v>
      </c>
      <c r="AX34" s="351" t="s">
        <v>1064</v>
      </c>
      <c r="AY34" s="352"/>
      <c r="AZ34" s="351"/>
      <c r="BA34" s="351"/>
      <c r="BB34" s="352"/>
      <c r="BC34" s="352"/>
      <c r="BD34" s="352"/>
      <c r="BE34" s="352"/>
      <c r="BF34" s="352"/>
      <c r="BG34" s="376"/>
      <c r="BH34" s="354"/>
      <c r="BI34" s="354"/>
      <c r="BJ34" s="354"/>
      <c r="BK34" s="362" t="s">
        <v>1065</v>
      </c>
      <c r="BL34" s="352" t="s">
        <v>1066</v>
      </c>
      <c r="BM34" s="366"/>
      <c r="BN34" s="366"/>
      <c r="BO34" s="382" t="s">
        <v>1067</v>
      </c>
      <c r="BP34" s="354"/>
      <c r="BQ34" s="354"/>
      <c r="BR34" s="354"/>
      <c r="BT34" s="378"/>
    </row>
    <row r="35" spans="5:72" ht="24" customHeight="1">
      <c r="E35" s="51"/>
      <c r="F35" s="383"/>
      <c r="G35" s="51"/>
      <c r="H35" s="383"/>
      <c r="I35" s="383"/>
      <c r="J35" s="384"/>
      <c r="K35" s="384"/>
      <c r="L35" s="385"/>
      <c r="M35" s="384"/>
      <c r="N35" s="51"/>
      <c r="O35" s="51"/>
      <c r="P35" s="51"/>
      <c r="Q35" s="51"/>
      <c r="R35" s="51"/>
      <c r="S35" s="51"/>
      <c r="T35" s="51"/>
      <c r="U35" s="51"/>
      <c r="V35" s="51"/>
      <c r="W35" s="51"/>
      <c r="X35" s="51"/>
      <c r="Y35" s="51"/>
      <c r="AB35" s="51"/>
      <c r="BG35" s="378"/>
      <c r="BM35" s="386"/>
      <c r="BN35" s="378"/>
      <c r="BT35" s="51"/>
    </row>
    <row r="36" spans="5:59" ht="24" customHeight="1">
      <c r="E36" s="387"/>
      <c r="F36" s="388"/>
      <c r="G36" s="51"/>
      <c r="H36" s="51"/>
      <c r="I36" s="51"/>
      <c r="J36" s="51"/>
      <c r="K36" s="51"/>
      <c r="L36" s="159"/>
      <c r="M36" s="51"/>
      <c r="N36" s="51"/>
      <c r="O36" s="51"/>
      <c r="P36" s="51"/>
      <c r="Q36" s="51"/>
      <c r="R36" s="51"/>
      <c r="S36" s="51"/>
      <c r="T36" s="51"/>
      <c r="U36" s="51"/>
      <c r="V36" s="51"/>
      <c r="W36" s="51"/>
      <c r="X36" s="51"/>
      <c r="Y36" s="51"/>
      <c r="AB36" s="51"/>
      <c r="AC36" s="51"/>
      <c r="BG36" s="378"/>
    </row>
    <row r="37" spans="5:59" ht="24" customHeight="1">
      <c r="E37" s="51"/>
      <c r="F37" s="389"/>
      <c r="G37" s="390"/>
      <c r="H37" s="51"/>
      <c r="I37" s="51"/>
      <c r="J37" s="51"/>
      <c r="K37" s="51"/>
      <c r="L37" s="159"/>
      <c r="M37" s="51"/>
      <c r="N37" s="51"/>
      <c r="O37" s="51"/>
      <c r="P37" s="51"/>
      <c r="Q37" s="51"/>
      <c r="R37" s="51"/>
      <c r="S37" s="51"/>
      <c r="T37" s="51"/>
      <c r="U37" s="51"/>
      <c r="V37" s="51"/>
      <c r="W37" s="51"/>
      <c r="X37" s="51"/>
      <c r="Y37" s="51"/>
      <c r="AB37" s="391"/>
      <c r="AC37" s="51"/>
      <c r="BG37" s="51"/>
    </row>
    <row r="38" spans="5:29" ht="24" customHeight="1">
      <c r="E38" s="392"/>
      <c r="F38" s="51"/>
      <c r="G38" s="51"/>
      <c r="H38" s="51"/>
      <c r="I38" s="51"/>
      <c r="J38" s="51"/>
      <c r="K38" s="51"/>
      <c r="L38" s="159"/>
      <c r="M38" s="51"/>
      <c r="N38" s="51"/>
      <c r="O38" s="51"/>
      <c r="P38" s="51"/>
      <c r="Q38" s="51"/>
      <c r="R38" s="51"/>
      <c r="S38" s="51"/>
      <c r="T38" s="51"/>
      <c r="U38" s="51"/>
      <c r="V38" s="51"/>
      <c r="W38" s="51"/>
      <c r="X38" s="51"/>
      <c r="Y38" s="51"/>
      <c r="AB38" s="391"/>
      <c r="AC38" s="51"/>
    </row>
    <row r="39" spans="5:29" ht="24" customHeight="1">
      <c r="E39" s="51"/>
      <c r="F39" s="51"/>
      <c r="G39" s="51"/>
      <c r="L39" s="159"/>
      <c r="AB39" s="391"/>
      <c r="AC39" s="51"/>
    </row>
    <row r="40" spans="5:29" ht="24" customHeight="1">
      <c r="E40" s="393"/>
      <c r="G40" s="51"/>
      <c r="L40" s="159"/>
      <c r="AB40" s="394"/>
      <c r="AC40" s="51"/>
    </row>
    <row r="41" spans="5:12" ht="24" customHeight="1">
      <c r="E41" s="51"/>
      <c r="G41" s="51"/>
      <c r="L41" s="159"/>
    </row>
    <row r="42" spans="5:12" ht="24" customHeight="1">
      <c r="E42" s="393"/>
      <c r="L42" s="159"/>
    </row>
    <row r="43" ht="24" customHeight="1">
      <c r="L43" s="159"/>
    </row>
    <row r="44" ht="24" customHeight="1">
      <c r="L44" s="159"/>
    </row>
    <row r="45" ht="24" customHeight="1">
      <c r="L45" s="159"/>
    </row>
    <row r="46" ht="24" customHeight="1">
      <c r="L46" s="159"/>
    </row>
    <row r="47" ht="24" customHeight="1">
      <c r="L47" s="159"/>
    </row>
    <row r="48" ht="24" customHeight="1">
      <c r="L48" s="159"/>
    </row>
    <row r="49" ht="24" customHeight="1">
      <c r="L49" s="159"/>
    </row>
    <row r="50" ht="24" customHeight="1">
      <c r="L50" s="159"/>
    </row>
    <row r="51" ht="24" customHeight="1">
      <c r="L51" s="159"/>
    </row>
    <row r="52" spans="12:21" ht="24" customHeight="1">
      <c r="L52" s="159"/>
      <c r="U52" s="395"/>
    </row>
    <row r="53" ht="24" customHeight="1">
      <c r="L53" s="159"/>
    </row>
    <row r="54" ht="24" customHeight="1">
      <c r="L54" s="159"/>
    </row>
    <row r="55" ht="24" customHeight="1">
      <c r="L55" s="159"/>
    </row>
    <row r="56" ht="24" customHeight="1">
      <c r="L56" s="159"/>
    </row>
    <row r="57" ht="24" customHeight="1">
      <c r="L57" s="159"/>
    </row>
    <row r="58" ht="24" customHeight="1">
      <c r="L58" s="159"/>
    </row>
    <row r="59" ht="24" customHeight="1">
      <c r="L59" s="159"/>
    </row>
    <row r="60" ht="24" customHeight="1">
      <c r="L60" s="159"/>
    </row>
    <row r="61" ht="24" customHeight="1">
      <c r="L61" s="159"/>
    </row>
    <row r="62" ht="24" customHeight="1">
      <c r="L62" s="159"/>
    </row>
    <row r="63" ht="24" customHeight="1">
      <c r="L63" s="159"/>
    </row>
    <row r="64" ht="24" customHeight="1">
      <c r="L64" s="159"/>
    </row>
    <row r="65" ht="24" customHeight="1">
      <c r="L65" s="159"/>
    </row>
    <row r="66" ht="24" customHeight="1">
      <c r="L66" s="159"/>
    </row>
    <row r="67" ht="24" customHeight="1">
      <c r="L67" s="159"/>
    </row>
    <row r="68" ht="24" customHeight="1">
      <c r="L68" s="159"/>
    </row>
    <row r="69" ht="24" customHeight="1">
      <c r="L69" s="159"/>
    </row>
    <row r="70" ht="24" customHeight="1">
      <c r="L70" s="159"/>
    </row>
    <row r="71" ht="24" customHeight="1">
      <c r="L71" s="159"/>
    </row>
    <row r="72" ht="24" customHeight="1">
      <c r="L72" s="159"/>
    </row>
    <row r="73" ht="24" customHeight="1">
      <c r="L73" s="159"/>
    </row>
    <row r="74" ht="24" customHeight="1">
      <c r="L74" s="159"/>
    </row>
    <row r="75" ht="24" customHeight="1">
      <c r="L75" s="159"/>
    </row>
    <row r="76" ht="24" customHeight="1">
      <c r="L76" s="159"/>
    </row>
    <row r="77" ht="24" customHeight="1">
      <c r="L77" s="159"/>
    </row>
    <row r="78" ht="24" customHeight="1">
      <c r="L78" s="159"/>
    </row>
    <row r="79" ht="24" customHeight="1">
      <c r="L79" s="159"/>
    </row>
    <row r="80" ht="24" customHeight="1">
      <c r="L80" s="159"/>
    </row>
    <row r="81" ht="24" customHeight="1">
      <c r="L81" s="159"/>
    </row>
    <row r="82" ht="24" customHeight="1">
      <c r="L82" s="159"/>
    </row>
    <row r="83" ht="24" customHeight="1">
      <c r="L83" s="159"/>
    </row>
    <row r="84" ht="24" customHeight="1">
      <c r="L84" s="159"/>
    </row>
    <row r="85" ht="24" customHeight="1">
      <c r="L85" s="159"/>
    </row>
    <row r="86" ht="24" customHeight="1">
      <c r="L86" s="159"/>
    </row>
    <row r="87" ht="24" customHeight="1">
      <c r="L87" s="159"/>
    </row>
    <row r="88" ht="24" customHeight="1">
      <c r="L88" s="159"/>
    </row>
    <row r="89" ht="24" customHeight="1">
      <c r="L89" s="159"/>
    </row>
    <row r="90" ht="24" customHeight="1">
      <c r="L90" s="159"/>
    </row>
    <row r="91" ht="24" customHeight="1">
      <c r="L91" s="159"/>
    </row>
    <row r="92" ht="24" customHeight="1">
      <c r="L92" s="159"/>
    </row>
    <row r="93" ht="24" customHeight="1">
      <c r="L93" s="159"/>
    </row>
    <row r="94" ht="24" customHeight="1">
      <c r="L94" s="159"/>
    </row>
    <row r="95" ht="24" customHeight="1">
      <c r="L95" s="159"/>
    </row>
    <row r="96" ht="24" customHeight="1">
      <c r="L96" s="159"/>
    </row>
    <row r="97" ht="24" customHeight="1">
      <c r="L97" s="159"/>
    </row>
    <row r="98" ht="24" customHeight="1">
      <c r="L98" s="159"/>
    </row>
    <row r="99" ht="24" customHeight="1">
      <c r="L99" s="159"/>
    </row>
    <row r="100" ht="24" customHeight="1">
      <c r="L100" s="159"/>
    </row>
    <row r="101" ht="24" customHeight="1">
      <c r="L101" s="159"/>
    </row>
    <row r="102" ht="24" customHeight="1">
      <c r="L102" s="159"/>
    </row>
    <row r="103" ht="24" customHeight="1">
      <c r="L103" s="159"/>
    </row>
    <row r="104" ht="24" customHeight="1">
      <c r="L104" s="159"/>
    </row>
    <row r="105" ht="24" customHeight="1">
      <c r="L105" s="159"/>
    </row>
    <row r="106" ht="24" customHeight="1">
      <c r="L106" s="159"/>
    </row>
    <row r="107" ht="24" customHeight="1">
      <c r="L107" s="159"/>
    </row>
    <row r="108" ht="24" customHeight="1">
      <c r="L108" s="159"/>
    </row>
    <row r="109" ht="24" customHeight="1">
      <c r="L109" s="159"/>
    </row>
    <row r="110" ht="24" customHeight="1">
      <c r="L110" s="159"/>
    </row>
    <row r="111" ht="24" customHeight="1">
      <c r="L111" s="159"/>
    </row>
    <row r="112" ht="24" customHeight="1">
      <c r="L112" s="159"/>
    </row>
    <row r="113" ht="24" customHeight="1">
      <c r="L113" s="159"/>
    </row>
    <row r="114" ht="24" customHeight="1">
      <c r="L114" s="159"/>
    </row>
    <row r="115" ht="24" customHeight="1">
      <c r="L115" s="159"/>
    </row>
    <row r="116" ht="24" customHeight="1">
      <c r="L116" s="159"/>
    </row>
    <row r="117" ht="24" customHeight="1">
      <c r="L117" s="159"/>
    </row>
    <row r="118" ht="24" customHeight="1">
      <c r="L118" s="159"/>
    </row>
    <row r="119" ht="24" customHeight="1">
      <c r="L119" s="159"/>
    </row>
    <row r="120" ht="24" customHeight="1">
      <c r="L120" s="159"/>
    </row>
    <row r="121" ht="24" customHeight="1">
      <c r="L121" s="159"/>
    </row>
    <row r="122" ht="24" customHeight="1">
      <c r="L122" s="159"/>
    </row>
    <row r="123" ht="24" customHeight="1">
      <c r="L123" s="159"/>
    </row>
    <row r="124" ht="24" customHeight="1">
      <c r="L124" s="159"/>
    </row>
    <row r="125" ht="24" customHeight="1">
      <c r="L125" s="159"/>
    </row>
    <row r="126" ht="24" customHeight="1">
      <c r="L126" s="159"/>
    </row>
    <row r="127" ht="24" customHeight="1">
      <c r="L127" s="159"/>
    </row>
    <row r="128" ht="24" customHeight="1">
      <c r="L128" s="159"/>
    </row>
    <row r="129" ht="24" customHeight="1">
      <c r="L129" s="159"/>
    </row>
    <row r="130" ht="24" customHeight="1">
      <c r="L130" s="159"/>
    </row>
    <row r="131" ht="24" customHeight="1">
      <c r="L131" s="159"/>
    </row>
    <row r="132" ht="24" customHeight="1">
      <c r="L132" s="159"/>
    </row>
    <row r="133" ht="24" customHeight="1">
      <c r="L133" s="159"/>
    </row>
    <row r="134" ht="24" customHeight="1">
      <c r="L134" s="159"/>
    </row>
    <row r="135" ht="24" customHeight="1">
      <c r="L135" s="159"/>
    </row>
    <row r="136" ht="24" customHeight="1">
      <c r="L136" s="159"/>
    </row>
    <row r="137" ht="24" customHeight="1">
      <c r="L137" s="159"/>
    </row>
    <row r="138" ht="24" customHeight="1">
      <c r="L138" s="159"/>
    </row>
    <row r="139" ht="24" customHeight="1">
      <c r="L139" s="159"/>
    </row>
    <row r="140" ht="24" customHeight="1">
      <c r="L140" s="159"/>
    </row>
    <row r="141" ht="24" customHeight="1">
      <c r="L141" s="159"/>
    </row>
    <row r="142" ht="24" customHeight="1">
      <c r="L142" s="159"/>
    </row>
    <row r="143" ht="24" customHeight="1">
      <c r="L143" s="159"/>
    </row>
    <row r="144" ht="24" customHeight="1">
      <c r="L144" s="159"/>
    </row>
    <row r="145" ht="24" customHeight="1">
      <c r="L145" s="159"/>
    </row>
    <row r="146" ht="24" customHeight="1">
      <c r="L146" s="159"/>
    </row>
    <row r="147" ht="24" customHeight="1">
      <c r="L147" s="159"/>
    </row>
    <row r="148" ht="24" customHeight="1">
      <c r="L148" s="159"/>
    </row>
    <row r="149" ht="24" customHeight="1">
      <c r="L149" s="159"/>
    </row>
    <row r="150" ht="24" customHeight="1">
      <c r="L150" s="159"/>
    </row>
    <row r="151" ht="24" customHeight="1">
      <c r="L151" s="159"/>
    </row>
    <row r="152" ht="24" customHeight="1">
      <c r="L152" s="159"/>
    </row>
    <row r="153" ht="24" customHeight="1">
      <c r="L153" s="159"/>
    </row>
    <row r="154" ht="24" customHeight="1">
      <c r="L154" s="159"/>
    </row>
    <row r="155" ht="24" customHeight="1">
      <c r="L155" s="159"/>
    </row>
    <row r="156" ht="24" customHeight="1">
      <c r="L156" s="159"/>
    </row>
    <row r="157" ht="24" customHeight="1">
      <c r="L157" s="159"/>
    </row>
    <row r="158" ht="24" customHeight="1">
      <c r="L158" s="159"/>
    </row>
    <row r="159" ht="24" customHeight="1">
      <c r="L159" s="159"/>
    </row>
    <row r="160" ht="24" customHeight="1">
      <c r="L160" s="159"/>
    </row>
    <row r="161" ht="24" customHeight="1">
      <c r="L161" s="159"/>
    </row>
    <row r="162" ht="24" customHeight="1">
      <c r="L162" s="159"/>
    </row>
    <row r="163" ht="24" customHeight="1">
      <c r="L163" s="159"/>
    </row>
    <row r="164" ht="24" customHeight="1">
      <c r="L164" s="159"/>
    </row>
    <row r="165" ht="24" customHeight="1">
      <c r="L165" s="159"/>
    </row>
    <row r="166" ht="24" customHeight="1">
      <c r="L166" s="159"/>
    </row>
    <row r="167" ht="24" customHeight="1">
      <c r="L167" s="159"/>
    </row>
    <row r="168" ht="24" customHeight="1">
      <c r="L168" s="159"/>
    </row>
    <row r="169" ht="24" customHeight="1">
      <c r="L169" s="159"/>
    </row>
    <row r="170" ht="24" customHeight="1">
      <c r="L170" s="159"/>
    </row>
    <row r="171" ht="24" customHeight="1">
      <c r="L171" s="159"/>
    </row>
    <row r="172" ht="24" customHeight="1">
      <c r="L172" s="159"/>
    </row>
    <row r="173" ht="24" customHeight="1">
      <c r="L173" s="159"/>
    </row>
    <row r="174" ht="24" customHeight="1">
      <c r="L174" s="159"/>
    </row>
    <row r="175" ht="24" customHeight="1">
      <c r="L175" s="159"/>
    </row>
    <row r="176" ht="24" customHeight="1">
      <c r="L176" s="159"/>
    </row>
    <row r="177" ht="24" customHeight="1">
      <c r="L177" s="159"/>
    </row>
    <row r="178" ht="24" customHeight="1">
      <c r="L178" s="159"/>
    </row>
    <row r="179" ht="24" customHeight="1">
      <c r="L179" s="159"/>
    </row>
    <row r="180" ht="24" customHeight="1">
      <c r="L180" s="159"/>
    </row>
    <row r="181" ht="24" customHeight="1">
      <c r="L181" s="159"/>
    </row>
    <row r="182" ht="24" customHeight="1">
      <c r="L182" s="159"/>
    </row>
    <row r="183" ht="24" customHeight="1">
      <c r="L183" s="159"/>
    </row>
    <row r="184" ht="24" customHeight="1">
      <c r="L184" s="159"/>
    </row>
    <row r="185" ht="24" customHeight="1">
      <c r="L185" s="159"/>
    </row>
    <row r="186" ht="24" customHeight="1">
      <c r="L186" s="159"/>
    </row>
    <row r="187" ht="24" customHeight="1">
      <c r="L187" s="159"/>
    </row>
    <row r="188" ht="24" customHeight="1">
      <c r="L188" s="159"/>
    </row>
    <row r="189" ht="24" customHeight="1">
      <c r="L189" s="159"/>
    </row>
    <row r="190" ht="24" customHeight="1">
      <c r="L190" s="159"/>
    </row>
    <row r="191" ht="24" customHeight="1">
      <c r="L191" s="159"/>
    </row>
    <row r="192" ht="24" customHeight="1">
      <c r="L192" s="159"/>
    </row>
    <row r="193" ht="24" customHeight="1">
      <c r="L193" s="159"/>
    </row>
    <row r="194" ht="24" customHeight="1">
      <c r="L194" s="159"/>
    </row>
    <row r="195" ht="24" customHeight="1">
      <c r="L195" s="159"/>
    </row>
    <row r="196" ht="24" customHeight="1">
      <c r="L196" s="159"/>
    </row>
    <row r="197" ht="24" customHeight="1">
      <c r="L197" s="159"/>
    </row>
    <row r="198" ht="24" customHeight="1">
      <c r="L198" s="159"/>
    </row>
    <row r="199" ht="24" customHeight="1">
      <c r="L199" s="159"/>
    </row>
    <row r="200" ht="24" customHeight="1">
      <c r="L200" s="159"/>
    </row>
    <row r="201" ht="24" customHeight="1">
      <c r="L201" s="159"/>
    </row>
    <row r="202" ht="24" customHeight="1">
      <c r="L202" s="159"/>
    </row>
    <row r="203" ht="24" customHeight="1">
      <c r="L203" s="159"/>
    </row>
    <row r="204" ht="24" customHeight="1">
      <c r="L204" s="159"/>
    </row>
    <row r="205" ht="24" customHeight="1">
      <c r="L205" s="159"/>
    </row>
    <row r="206" ht="24" customHeight="1">
      <c r="L206" s="159"/>
    </row>
    <row r="207" ht="24" customHeight="1">
      <c r="L207" s="159"/>
    </row>
    <row r="208" ht="24" customHeight="1">
      <c r="L208" s="159"/>
    </row>
    <row r="209" ht="24" customHeight="1">
      <c r="L209" s="159"/>
    </row>
    <row r="210" ht="24" customHeight="1">
      <c r="L210" s="159"/>
    </row>
    <row r="211" ht="24" customHeight="1">
      <c r="L211" s="159"/>
    </row>
    <row r="212" ht="24" customHeight="1">
      <c r="L212" s="159"/>
    </row>
    <row r="213" ht="24" customHeight="1">
      <c r="L213" s="159"/>
    </row>
    <row r="214" ht="24" customHeight="1">
      <c r="L214" s="159"/>
    </row>
  </sheetData>
  <sheetProtection/>
  <mergeCells count="75">
    <mergeCell ref="BM1:BM4"/>
    <mergeCell ref="BN1:BN4"/>
    <mergeCell ref="BO1:BO4"/>
    <mergeCell ref="BP1:BP4"/>
    <mergeCell ref="BQ1:BQ4"/>
    <mergeCell ref="BR1:BR4"/>
    <mergeCell ref="BG1:BG4"/>
    <mergeCell ref="BH1:BH4"/>
    <mergeCell ref="BI1:BI4"/>
    <mergeCell ref="BJ1:BJ4"/>
    <mergeCell ref="BK1:BK4"/>
    <mergeCell ref="BL1:BL4"/>
    <mergeCell ref="H1:H4"/>
    <mergeCell ref="I1:I4"/>
    <mergeCell ref="A1:D4"/>
    <mergeCell ref="E1:E4"/>
    <mergeCell ref="F1:F4"/>
    <mergeCell ref="G1:G4"/>
    <mergeCell ref="X1:X4"/>
    <mergeCell ref="Y1:Y4"/>
    <mergeCell ref="P1:P4"/>
    <mergeCell ref="Q1:Q4"/>
    <mergeCell ref="J1:J4"/>
    <mergeCell ref="K1:K4"/>
    <mergeCell ref="L1:L4"/>
    <mergeCell ref="M1:M4"/>
    <mergeCell ref="N1:N4"/>
    <mergeCell ref="O1:O4"/>
    <mergeCell ref="R1:R4"/>
    <mergeCell ref="S1:S4"/>
    <mergeCell ref="T1:T4"/>
    <mergeCell ref="U1:U4"/>
    <mergeCell ref="V1:V4"/>
    <mergeCell ref="W1:W4"/>
    <mergeCell ref="AN1:AN4"/>
    <mergeCell ref="AO1:AO4"/>
    <mergeCell ref="AD1:AD4"/>
    <mergeCell ref="AE1:AE4"/>
    <mergeCell ref="AF1:AF4"/>
    <mergeCell ref="AG1:AG4"/>
    <mergeCell ref="AH1:AH4"/>
    <mergeCell ref="AI1:AI4"/>
    <mergeCell ref="AJ1:AJ4"/>
    <mergeCell ref="AK1:AK4"/>
    <mergeCell ref="AL1:AL4"/>
    <mergeCell ref="AM1:AM4"/>
    <mergeCell ref="Z1:Z4"/>
    <mergeCell ref="AA1:AA4"/>
    <mergeCell ref="AB1:AB4"/>
    <mergeCell ref="AC1:AC4"/>
    <mergeCell ref="AP1:AP4"/>
    <mergeCell ref="AQ1:AQ4"/>
    <mergeCell ref="AX1:AX4"/>
    <mergeCell ref="AY1:AY4"/>
    <mergeCell ref="AR1:AR4"/>
    <mergeCell ref="AS1:AS4"/>
    <mergeCell ref="AT1:AT4"/>
    <mergeCell ref="AU1:AU4"/>
    <mergeCell ref="BD1:BD4"/>
    <mergeCell ref="BE1:BE4"/>
    <mergeCell ref="BF1:BF4"/>
    <mergeCell ref="B7:C7"/>
    <mergeCell ref="AZ1:AZ4"/>
    <mergeCell ref="BA1:BA4"/>
    <mergeCell ref="BB1:BB4"/>
    <mergeCell ref="BC1:BC4"/>
    <mergeCell ref="AV1:AV4"/>
    <mergeCell ref="AW1:AW4"/>
    <mergeCell ref="B29:B30"/>
    <mergeCell ref="B32:B34"/>
    <mergeCell ref="B11:C11"/>
    <mergeCell ref="B12:B18"/>
    <mergeCell ref="B19:B28"/>
    <mergeCell ref="C19:C23"/>
    <mergeCell ref="C24:C28"/>
  </mergeCells>
  <printOptions/>
  <pageMargins left="0.75" right="0.75" top="1" bottom="1" header="0.5" footer="0.5"/>
  <pageSetup orientation="portrait" paperSize="9"/>
  <legacyDrawing r:id="rId2"/>
</worksheet>
</file>

<file path=xl/worksheets/sheet15.xml><?xml version="1.0" encoding="utf-8"?>
<worksheet xmlns="http://schemas.openxmlformats.org/spreadsheetml/2006/main" xmlns:r="http://schemas.openxmlformats.org/officeDocument/2006/relationships">
  <dimension ref="A1:P37"/>
  <sheetViews>
    <sheetView zoomScalePageLayoutView="0" workbookViewId="0" topLeftCell="A1">
      <selection activeCell="C4" sqref="C4"/>
    </sheetView>
  </sheetViews>
  <sheetFormatPr defaultColWidth="9.140625" defaultRowHeight="12.75"/>
  <cols>
    <col min="3" max="3" width="19.7109375" style="0" customWidth="1"/>
    <col min="8" max="8" width="11.140625" style="0" customWidth="1"/>
    <col min="9" max="9" width="12.28125" style="0" customWidth="1"/>
    <col min="11" max="11" width="18.00390625" style="0" customWidth="1"/>
    <col min="12" max="12" width="26.7109375" style="0" customWidth="1"/>
    <col min="15" max="15" width="16.28125" style="0" customWidth="1"/>
    <col min="16" max="16" width="18.00390625" style="0" customWidth="1"/>
  </cols>
  <sheetData>
    <row r="1" spans="1:11" ht="24">
      <c r="A1" s="20"/>
      <c r="B1" s="21" t="s">
        <v>720</v>
      </c>
      <c r="C1" s="21"/>
      <c r="D1" s="21" t="s">
        <v>721</v>
      </c>
      <c r="E1" s="21" t="s">
        <v>722</v>
      </c>
      <c r="F1" s="21" t="s">
        <v>723</v>
      </c>
      <c r="G1" s="21" t="s">
        <v>724</v>
      </c>
      <c r="H1" s="21" t="s">
        <v>725</v>
      </c>
      <c r="I1" s="22" t="s">
        <v>727</v>
      </c>
      <c r="J1" s="22" t="s">
        <v>688</v>
      </c>
      <c r="K1" s="22" t="s">
        <v>728</v>
      </c>
    </row>
    <row r="2" spans="1:16" ht="127.5">
      <c r="A2" s="24"/>
      <c r="B2" s="16" t="s">
        <v>695</v>
      </c>
      <c r="C2" s="16" t="s">
        <v>816</v>
      </c>
      <c r="D2" s="16" t="s">
        <v>696</v>
      </c>
      <c r="E2" s="16" t="s">
        <v>1084</v>
      </c>
      <c r="F2" s="16" t="s">
        <v>1085</v>
      </c>
      <c r="G2" s="16" t="s">
        <v>1086</v>
      </c>
      <c r="H2" s="16" t="s">
        <v>755</v>
      </c>
      <c r="I2" s="25" t="s">
        <v>757</v>
      </c>
      <c r="J2" s="25"/>
      <c r="K2" s="15" t="s">
        <v>758</v>
      </c>
      <c r="L2" t="s">
        <v>63</v>
      </c>
      <c r="M2" t="s">
        <v>836</v>
      </c>
      <c r="N2" s="159" t="s">
        <v>64</v>
      </c>
      <c r="O2" s="56" t="s">
        <v>14</v>
      </c>
      <c r="P2" s="56" t="s">
        <v>44</v>
      </c>
    </row>
    <row r="3" spans="2:11" ht="25.5">
      <c r="B3" s="28" t="s">
        <v>770</v>
      </c>
      <c r="C3" s="28"/>
      <c r="D3" s="28" t="s">
        <v>770</v>
      </c>
      <c r="E3" s="29"/>
      <c r="F3" s="29"/>
      <c r="G3" s="29"/>
      <c r="H3" s="29"/>
      <c r="I3" s="28" t="s">
        <v>770</v>
      </c>
      <c r="J3" s="28"/>
      <c r="K3" s="28"/>
    </row>
    <row r="4" spans="1:16" ht="12.75">
      <c r="A4" s="63" t="e">
        <f>'Data entry'!#REF!</f>
        <v>#REF!</v>
      </c>
      <c r="B4" s="63" t="e">
        <f>'Data entry'!#REF!</f>
        <v>#REF!</v>
      </c>
      <c r="C4" s="63" t="e">
        <f>'Data entry'!#REF!</f>
        <v>#REF!</v>
      </c>
      <c r="D4" s="65"/>
      <c r="E4" s="65"/>
      <c r="F4" s="65"/>
      <c r="G4" s="65">
        <v>1</v>
      </c>
      <c r="H4" s="65"/>
      <c r="I4" s="66" t="e">
        <f>'Data entry'!#REF!</f>
        <v>#REF!</v>
      </c>
      <c r="J4" s="71" t="e">
        <f>'Data entry'!#REF!</f>
        <v>#REF!</v>
      </c>
      <c r="K4" s="66" t="e">
        <f>'Data entry'!#REF!</f>
        <v>#REF!</v>
      </c>
      <c r="L4" s="66" t="e">
        <f>'Data entry'!#REF!</f>
        <v>#REF!</v>
      </c>
      <c r="M4" s="160" t="e">
        <f>'Data entry'!#REF!</f>
        <v>#REF!</v>
      </c>
      <c r="N4" s="66" t="e">
        <f>'Data entry'!#REF!</f>
        <v>#REF!</v>
      </c>
      <c r="O4" s="66" t="e">
        <f>'Data entry'!#REF!</f>
        <v>#REF!</v>
      </c>
      <c r="P4" s="66" t="e">
        <f>'Data entry'!#REF!</f>
        <v>#REF!</v>
      </c>
    </row>
    <row r="5" spans="1:16" ht="17.25" customHeight="1">
      <c r="A5" s="63">
        <f>'Data entry'!B40</f>
        <v>38</v>
      </c>
      <c r="B5" s="63">
        <f>'Data entry'!A40</f>
        <v>46</v>
      </c>
      <c r="C5" s="63" t="str">
        <f>'Data entry'!C40</f>
        <v>Name removed</v>
      </c>
      <c r="D5" s="65"/>
      <c r="E5" s="65"/>
      <c r="F5" s="65"/>
      <c r="G5" s="65">
        <v>1</v>
      </c>
      <c r="H5" s="65"/>
      <c r="I5" s="66">
        <f>'Data entry'!G40</f>
        <v>83000</v>
      </c>
      <c r="J5" s="71">
        <f>'Data entry'!H40</f>
        <v>0.8469387755102041</v>
      </c>
      <c r="K5" s="66" t="str">
        <f>'Data entry'!I40</f>
        <v>pipe irrigation</v>
      </c>
      <c r="L5" s="66" t="str">
        <f>'Data entry'!J40</f>
        <v>Lot number removed</v>
      </c>
      <c r="M5" s="160">
        <f>'Data entry'!K40</f>
        <v>0</v>
      </c>
      <c r="N5" s="66">
        <f>'Data entry'!N40</f>
        <v>3</v>
      </c>
      <c r="O5" s="66">
        <f>'Data entry'!O40</f>
        <v>5</v>
      </c>
      <c r="P5" s="66">
        <f>'Data entry'!P40</f>
        <v>0</v>
      </c>
    </row>
    <row r="6" spans="1:16" ht="17.25" customHeight="1">
      <c r="A6" s="63">
        <f>'Data entry'!B42</f>
        <v>40</v>
      </c>
      <c r="B6" s="63">
        <f>'Data entry'!A42</f>
        <v>49</v>
      </c>
      <c r="C6" s="63" t="str">
        <f>'Data entry'!C42</f>
        <v>Name removed</v>
      </c>
      <c r="D6" s="65"/>
      <c r="E6" s="65"/>
      <c r="F6" s="65"/>
      <c r="G6" s="65">
        <v>1</v>
      </c>
      <c r="H6" s="65"/>
      <c r="I6" s="66">
        <f>'Data entry'!G42</f>
        <v>15340.650000000001</v>
      </c>
      <c r="J6" s="71">
        <f>'Data entry'!H42</f>
        <v>0.33483866109498955</v>
      </c>
      <c r="K6" s="66" t="str">
        <f>'Data entry'!I42</f>
        <v>Watering points </v>
      </c>
      <c r="L6" s="66" t="str">
        <f>'Data entry'!J42</f>
        <v>Lot number removed</v>
      </c>
      <c r="M6" s="160">
        <f>'Data entry'!K42</f>
        <v>0</v>
      </c>
      <c r="N6" s="66">
        <f>'Data entry'!N42</f>
        <v>3</v>
      </c>
      <c r="O6" s="66">
        <f>'Data entry'!O42</f>
        <v>5</v>
      </c>
      <c r="P6" s="66">
        <f>'Data entry'!P42</f>
        <v>0</v>
      </c>
    </row>
    <row r="7" spans="1:16" ht="26.25" customHeight="1">
      <c r="A7" s="63">
        <f>'Data entry'!B46</f>
        <v>44</v>
      </c>
      <c r="B7" s="63" t="str">
        <f>'Data entry'!A46</f>
        <v>52b</v>
      </c>
      <c r="C7" s="63" t="str">
        <f>'Data entry'!C46</f>
        <v>Name removed</v>
      </c>
      <c r="D7" s="65"/>
      <c r="E7" s="65"/>
      <c r="F7" s="65"/>
      <c r="G7" s="65">
        <v>1</v>
      </c>
      <c r="H7" s="65"/>
      <c r="I7" s="66">
        <f>'Data entry'!G46</f>
        <v>3500</v>
      </c>
      <c r="J7" s="71">
        <f>'Data entry'!H46</f>
        <v>0.875</v>
      </c>
      <c r="K7" s="66" t="str">
        <f>'Data entry'!I46</f>
        <v>Portable electric fencing</v>
      </c>
      <c r="L7" s="66" t="str">
        <f>'Data entry'!J46</f>
        <v>Lot number removed</v>
      </c>
      <c r="M7" s="160">
        <f>'Data entry'!K46</f>
        <v>0</v>
      </c>
      <c r="N7" s="66">
        <f>'Data entry'!N46</f>
        <v>3</v>
      </c>
      <c r="O7" s="66">
        <f>'Data entry'!O46</f>
        <v>5</v>
      </c>
      <c r="P7" s="66">
        <f>'Data entry'!P46</f>
        <v>0</v>
      </c>
    </row>
    <row r="8" spans="1:16" ht="26.25" customHeight="1">
      <c r="A8" s="63">
        <f>'Data entry'!B64</f>
        <v>62</v>
      </c>
      <c r="B8" s="63">
        <f>'Data entry'!A64</f>
        <v>78</v>
      </c>
      <c r="C8" s="63" t="str">
        <f>'Data entry'!C64</f>
        <v>Name removed</v>
      </c>
      <c r="D8" s="65"/>
      <c r="E8" s="65"/>
      <c r="F8" s="65"/>
      <c r="G8" s="65">
        <v>1</v>
      </c>
      <c r="H8" s="65"/>
      <c r="I8" s="66">
        <f>'Data entry'!G64</f>
        <v>30000</v>
      </c>
      <c r="J8" s="71">
        <f>'Data entry'!H64</f>
        <v>0.3510660706344934</v>
      </c>
      <c r="K8" s="66" t="str">
        <f>'Data entry'!I64</f>
        <v>irrigation using cane recycled water</v>
      </c>
      <c r="L8" s="66" t="str">
        <f>'Data entry'!J64</f>
        <v>Lot number removed</v>
      </c>
      <c r="M8" s="160">
        <f>'Data entry'!K64</f>
        <v>0</v>
      </c>
      <c r="N8" s="66">
        <f>'Data entry'!N64</f>
        <v>3</v>
      </c>
      <c r="O8" s="66">
        <f>'Data entry'!O64</f>
        <v>5</v>
      </c>
      <c r="P8" s="66">
        <f>'Data entry'!P64</f>
        <v>0</v>
      </c>
    </row>
    <row r="9" spans="1:16" ht="25.5">
      <c r="A9" s="63">
        <f>'Data entry'!B73</f>
        <v>71</v>
      </c>
      <c r="B9" s="63">
        <f>'Data entry'!A73</f>
        <v>90</v>
      </c>
      <c r="C9" s="63" t="str">
        <f>'Data entry'!C73</f>
        <v>Name removed</v>
      </c>
      <c r="D9" s="65"/>
      <c r="E9" s="65"/>
      <c r="F9" s="65"/>
      <c r="G9" s="65">
        <v>1</v>
      </c>
      <c r="H9" s="65"/>
      <c r="I9" s="66">
        <f>'Data entry'!G73</f>
        <v>10234</v>
      </c>
      <c r="J9" s="71">
        <f>'Data entry'!H73</f>
        <v>0.3691652838900512</v>
      </c>
      <c r="K9" s="66" t="str">
        <f>'Data entry'!I73</f>
        <v>watering points/fencing</v>
      </c>
      <c r="L9" s="66" t="str">
        <f>'Data entry'!J73</f>
        <v>Lot number removed</v>
      </c>
      <c r="M9" s="160">
        <f>'Data entry'!K73</f>
        <v>0</v>
      </c>
      <c r="N9" s="66">
        <f>'Data entry'!N73</f>
        <v>3</v>
      </c>
      <c r="O9" s="66">
        <f>'Data entry'!O73</f>
        <v>5</v>
      </c>
      <c r="P9" s="66">
        <f>'Data entry'!P73</f>
        <v>0</v>
      </c>
    </row>
    <row r="10" spans="1:16" ht="12.75">
      <c r="A10" s="63">
        <f>'Data entry'!B74</f>
        <v>72</v>
      </c>
      <c r="B10" s="63">
        <f>'Data entry'!A74</f>
        <v>91</v>
      </c>
      <c r="C10" s="63" t="str">
        <f>'Data entry'!C74</f>
        <v>Name removed</v>
      </c>
      <c r="D10" s="65"/>
      <c r="E10" s="65"/>
      <c r="F10" s="65"/>
      <c r="G10" s="65">
        <v>1</v>
      </c>
      <c r="H10" s="65"/>
      <c r="I10" s="66">
        <f>'Data entry'!G74</f>
        <v>14800</v>
      </c>
      <c r="J10" s="71">
        <f>'Data entry'!H74</f>
        <v>0.49333333333333335</v>
      </c>
      <c r="K10" s="66">
        <f>'Data entry'!I74</f>
        <v>0</v>
      </c>
      <c r="L10" s="66" t="str">
        <f>'Data entry'!J74</f>
        <v>Lot number removed</v>
      </c>
      <c r="M10" s="160">
        <f>'Data entry'!K74</f>
        <v>0</v>
      </c>
      <c r="N10" s="66">
        <f>'Data entry'!N74</f>
        <v>3</v>
      </c>
      <c r="O10" s="66">
        <f>'Data entry'!O74</f>
        <v>5</v>
      </c>
      <c r="P10" s="66">
        <f>'Data entry'!P74</f>
        <v>0</v>
      </c>
    </row>
    <row r="11" spans="1:16" ht="12.75">
      <c r="A11" s="63">
        <f>'Data entry'!B75</f>
        <v>73</v>
      </c>
      <c r="B11" s="63">
        <f>'Data entry'!A75</f>
        <v>92</v>
      </c>
      <c r="C11" s="63" t="str">
        <f>'Data entry'!C75</f>
        <v>Name removed</v>
      </c>
      <c r="D11" s="65"/>
      <c r="E11" s="65"/>
      <c r="F11" s="65"/>
      <c r="G11" s="65">
        <v>1</v>
      </c>
      <c r="H11" s="65"/>
      <c r="I11" s="66">
        <f>'Data entry'!G75</f>
        <v>50000</v>
      </c>
      <c r="J11" s="71">
        <f>'Data entry'!H75</f>
        <v>0.7142857142857143</v>
      </c>
      <c r="K11" s="66" t="str">
        <f>'Data entry'!I75</f>
        <v>spraying machinery</v>
      </c>
      <c r="L11" s="66" t="str">
        <f>'Data entry'!J75</f>
        <v>Lot number removed</v>
      </c>
      <c r="M11" s="160">
        <f>'Data entry'!K75</f>
        <v>0</v>
      </c>
      <c r="N11" s="66">
        <f>'Data entry'!N75</f>
        <v>3</v>
      </c>
      <c r="O11" s="66">
        <f>'Data entry'!O75</f>
        <v>5</v>
      </c>
      <c r="P11" s="66">
        <f>'Data entry'!P75</f>
        <v>0</v>
      </c>
    </row>
    <row r="12" spans="1:16" ht="25.5">
      <c r="A12" s="63">
        <f>'Data entry'!B76</f>
        <v>74</v>
      </c>
      <c r="B12" s="63">
        <f>'Data entry'!A76</f>
        <v>93</v>
      </c>
      <c r="C12" s="63" t="str">
        <f>'Data entry'!C76</f>
        <v>Name removed</v>
      </c>
      <c r="D12" s="66"/>
      <c r="E12" s="65"/>
      <c r="F12" s="65"/>
      <c r="G12" s="65">
        <v>1</v>
      </c>
      <c r="H12" s="65"/>
      <c r="I12" s="66">
        <f>'Data entry'!E76</f>
        <v>78917.45</v>
      </c>
      <c r="J12" s="71">
        <f>'Data entry'!F76</f>
        <v>0</v>
      </c>
      <c r="K12" s="71" t="str">
        <f>'Data entry'!I76</f>
        <v>fencing and solar pump</v>
      </c>
      <c r="L12" s="160" t="str">
        <f>'Data entry'!J76</f>
        <v>No lot number supplied</v>
      </c>
      <c r="M12" s="160">
        <f>'Data entry'!K76</f>
        <v>0</v>
      </c>
      <c r="N12" s="66">
        <f>'Data entry'!N76</f>
        <v>3</v>
      </c>
      <c r="O12" s="66">
        <f>'Data entry'!O76</f>
        <v>5</v>
      </c>
      <c r="P12" s="66">
        <f>'Data entry'!P76</f>
        <v>0</v>
      </c>
    </row>
    <row r="13" spans="1:11" ht="12.75">
      <c r="A13" s="68"/>
      <c r="B13" s="69"/>
      <c r="C13" s="69"/>
      <c r="D13" s="70"/>
      <c r="E13" s="70"/>
      <c r="F13" s="70"/>
      <c r="G13" s="70"/>
      <c r="H13" s="70"/>
      <c r="I13" s="68"/>
      <c r="J13" s="68"/>
      <c r="K13" s="68"/>
    </row>
    <row r="14" spans="1:11" ht="25.5">
      <c r="A14" s="659" t="s">
        <v>85</v>
      </c>
      <c r="B14" s="69"/>
      <c r="C14" s="69"/>
      <c r="D14" s="70"/>
      <c r="E14" s="70"/>
      <c r="F14" s="657" t="s">
        <v>88</v>
      </c>
      <c r="G14" s="70"/>
      <c r="H14" s="70"/>
      <c r="I14" s="68"/>
      <c r="J14" s="68"/>
      <c r="K14" s="68"/>
    </row>
    <row r="15" spans="1:11" ht="12.75">
      <c r="A15" s="659" t="s">
        <v>86</v>
      </c>
      <c r="B15" s="69">
        <v>930</v>
      </c>
      <c r="C15" s="658" t="s">
        <v>87</v>
      </c>
      <c r="D15" s="69">
        <v>1042</v>
      </c>
      <c r="E15" s="70"/>
      <c r="F15" s="69">
        <v>986</v>
      </c>
      <c r="G15" s="70"/>
      <c r="H15" s="70"/>
      <c r="I15" s="68"/>
      <c r="J15" s="68"/>
      <c r="K15" s="68"/>
    </row>
    <row r="16" spans="1:11" ht="12.75">
      <c r="A16" s="659" t="s">
        <v>89</v>
      </c>
      <c r="B16" s="69">
        <v>614</v>
      </c>
      <c r="C16" s="658" t="s">
        <v>90</v>
      </c>
      <c r="D16" s="69">
        <v>659</v>
      </c>
      <c r="E16" s="70"/>
      <c r="F16" s="69">
        <v>636</v>
      </c>
      <c r="G16" s="70"/>
      <c r="H16" s="70"/>
      <c r="I16" s="68"/>
      <c r="J16" s="68"/>
      <c r="K16" s="68"/>
    </row>
    <row r="17" spans="1:13" ht="62.25" customHeight="1">
      <c r="A17" s="627" t="s">
        <v>810</v>
      </c>
      <c r="B17" s="631" t="s">
        <v>74</v>
      </c>
      <c r="C17" s="627" t="s">
        <v>811</v>
      </c>
      <c r="D17" s="627" t="s">
        <v>812</v>
      </c>
      <c r="E17" s="628" t="s">
        <v>813</v>
      </c>
      <c r="F17" s="628" t="s">
        <v>814</v>
      </c>
      <c r="G17" s="628" t="s">
        <v>687</v>
      </c>
      <c r="H17" s="629" t="s">
        <v>815</v>
      </c>
      <c r="I17" s="630" t="s">
        <v>1090</v>
      </c>
      <c r="J17" s="630" t="s">
        <v>835</v>
      </c>
      <c r="K17" s="68"/>
      <c r="M17" s="49"/>
    </row>
    <row r="18" spans="1:13" ht="12.75">
      <c r="A18" s="68"/>
      <c r="B18" s="69"/>
      <c r="C18" s="69"/>
      <c r="D18" s="70"/>
      <c r="E18" s="70"/>
      <c r="F18" s="70"/>
      <c r="G18" s="70"/>
      <c r="H18" s="70"/>
      <c r="I18" s="68"/>
      <c r="J18" s="68"/>
      <c r="K18" s="68"/>
      <c r="M18" s="49"/>
    </row>
    <row r="19" spans="1:13" ht="12.75">
      <c r="A19" s="641">
        <v>46</v>
      </c>
      <c r="B19" s="640">
        <v>38</v>
      </c>
      <c r="C19" s="640" t="s">
        <v>1116</v>
      </c>
      <c r="D19" s="640" t="s">
        <v>780</v>
      </c>
      <c r="E19" s="642">
        <v>98000</v>
      </c>
      <c r="F19" s="642">
        <v>15000</v>
      </c>
      <c r="G19" s="642">
        <v>83000</v>
      </c>
      <c r="H19" s="644">
        <v>0.8469387755102041</v>
      </c>
      <c r="I19" s="643" t="s">
        <v>867</v>
      </c>
      <c r="J19" s="639" t="s">
        <v>840</v>
      </c>
      <c r="K19" s="68"/>
      <c r="M19" s="49"/>
    </row>
    <row r="20" spans="1:13" ht="31.5" customHeight="1">
      <c r="A20" s="647">
        <v>49</v>
      </c>
      <c r="B20" s="646">
        <v>40</v>
      </c>
      <c r="C20" s="646" t="s">
        <v>1116</v>
      </c>
      <c r="D20" s="646" t="s">
        <v>780</v>
      </c>
      <c r="E20" s="648">
        <v>45815.05</v>
      </c>
      <c r="F20" s="648">
        <v>30474.4</v>
      </c>
      <c r="G20" s="648">
        <v>15340.650000000001</v>
      </c>
      <c r="H20" s="649">
        <v>0.33483866109498955</v>
      </c>
      <c r="I20" s="650" t="s">
        <v>507</v>
      </c>
      <c r="J20" s="645" t="s">
        <v>1091</v>
      </c>
      <c r="K20" s="68"/>
      <c r="M20" s="49"/>
    </row>
    <row r="21" spans="1:13" ht="23.25" customHeight="1">
      <c r="A21" s="653" t="s">
        <v>801</v>
      </c>
      <c r="B21" s="652">
        <v>44</v>
      </c>
      <c r="C21" s="652" t="s">
        <v>1116</v>
      </c>
      <c r="D21" s="652" t="s">
        <v>780</v>
      </c>
      <c r="E21" s="654">
        <v>4000</v>
      </c>
      <c r="F21" s="654">
        <v>500</v>
      </c>
      <c r="G21" s="654">
        <v>3500</v>
      </c>
      <c r="H21" s="656">
        <v>0.875</v>
      </c>
      <c r="I21" s="655" t="s">
        <v>844</v>
      </c>
      <c r="J21" s="651" t="s">
        <v>843</v>
      </c>
      <c r="K21" s="651"/>
      <c r="L21" s="651"/>
      <c r="M21" s="651"/>
    </row>
    <row r="22" spans="1:13" ht="23.25" customHeight="1">
      <c r="A22" s="662">
        <v>78</v>
      </c>
      <c r="B22" s="661">
        <v>62</v>
      </c>
      <c r="C22" s="661" t="s">
        <v>1116</v>
      </c>
      <c r="D22" s="661" t="s">
        <v>780</v>
      </c>
      <c r="E22" s="663">
        <v>85454</v>
      </c>
      <c r="F22" s="663">
        <v>55454</v>
      </c>
      <c r="G22" s="663">
        <v>30000</v>
      </c>
      <c r="H22" s="665">
        <v>0.3510660706344934</v>
      </c>
      <c r="I22" s="664" t="s">
        <v>1088</v>
      </c>
      <c r="J22" s="660" t="s">
        <v>849</v>
      </c>
      <c r="K22" s="68"/>
      <c r="M22" s="49"/>
    </row>
    <row r="23" spans="1:11" ht="30" customHeight="1">
      <c r="A23" s="634">
        <v>90</v>
      </c>
      <c r="B23" s="633">
        <v>71</v>
      </c>
      <c r="C23" s="633" t="s">
        <v>1116</v>
      </c>
      <c r="D23" s="633" t="s">
        <v>780</v>
      </c>
      <c r="E23" s="635">
        <v>27722</v>
      </c>
      <c r="F23" s="635">
        <v>17488</v>
      </c>
      <c r="G23" s="635">
        <v>10234</v>
      </c>
      <c r="H23" s="636">
        <v>0.3691652838900512</v>
      </c>
      <c r="I23" s="637" t="s">
        <v>1092</v>
      </c>
      <c r="J23" s="632" t="s">
        <v>853</v>
      </c>
      <c r="K23" s="68"/>
    </row>
    <row r="24" spans="1:11" ht="21.75" customHeight="1">
      <c r="A24" s="634">
        <v>91</v>
      </c>
      <c r="B24" s="633">
        <v>72</v>
      </c>
      <c r="C24" s="633" t="s">
        <v>1116</v>
      </c>
      <c r="D24" s="633" t="s">
        <v>780</v>
      </c>
      <c r="E24" s="635">
        <v>30000</v>
      </c>
      <c r="F24" s="635">
        <v>15200</v>
      </c>
      <c r="G24" s="635">
        <v>14800</v>
      </c>
      <c r="H24" s="636">
        <v>0.49333333333333335</v>
      </c>
      <c r="I24" s="637"/>
      <c r="J24" s="632" t="s">
        <v>854</v>
      </c>
      <c r="K24" s="68"/>
    </row>
    <row r="25" spans="1:11" ht="21" customHeight="1">
      <c r="A25" s="634">
        <v>92</v>
      </c>
      <c r="B25" s="633">
        <v>73</v>
      </c>
      <c r="C25" s="633" t="s">
        <v>1116</v>
      </c>
      <c r="D25" s="633" t="s">
        <v>780</v>
      </c>
      <c r="E25" s="635">
        <v>70000</v>
      </c>
      <c r="F25" s="635">
        <v>20000</v>
      </c>
      <c r="G25" s="635">
        <v>50000</v>
      </c>
      <c r="H25" s="638">
        <v>0.7142857142857143</v>
      </c>
      <c r="I25" s="637" t="s">
        <v>1093</v>
      </c>
      <c r="J25" s="632" t="s">
        <v>855</v>
      </c>
      <c r="K25" s="68"/>
    </row>
    <row r="26" spans="1:11" ht="21" customHeight="1">
      <c r="A26" s="634">
        <v>93</v>
      </c>
      <c r="B26" s="633">
        <v>74</v>
      </c>
      <c r="C26" s="633" t="s">
        <v>1116</v>
      </c>
      <c r="D26" s="633" t="s">
        <v>780</v>
      </c>
      <c r="E26" s="635">
        <v>78917.45</v>
      </c>
      <c r="F26" s="635">
        <v>0</v>
      </c>
      <c r="G26" s="635">
        <v>78917.45</v>
      </c>
      <c r="H26" s="638">
        <v>1</v>
      </c>
      <c r="I26" s="637" t="s">
        <v>62</v>
      </c>
      <c r="J26" s="632"/>
      <c r="K26" s="68"/>
    </row>
    <row r="27" spans="1:11" ht="12.75">
      <c r="A27" s="68"/>
      <c r="B27" s="69"/>
      <c r="C27" s="69"/>
      <c r="D27" s="70"/>
      <c r="E27" s="70"/>
      <c r="F27" s="70"/>
      <c r="G27" s="70"/>
      <c r="H27" s="70"/>
      <c r="I27" s="68"/>
      <c r="J27" s="68"/>
      <c r="K27" s="68"/>
    </row>
    <row r="28" spans="1:11" ht="12.75">
      <c r="A28" s="68"/>
      <c r="B28" s="69"/>
      <c r="C28" s="69"/>
      <c r="D28" s="70"/>
      <c r="E28" s="70"/>
      <c r="F28" s="70"/>
      <c r="G28" s="70"/>
      <c r="H28" s="70"/>
      <c r="I28" s="68"/>
      <c r="J28" s="68"/>
      <c r="K28" s="68"/>
    </row>
    <row r="29" spans="1:11" ht="12.75">
      <c r="A29" s="68"/>
      <c r="B29" s="69"/>
      <c r="C29" s="69"/>
      <c r="D29" s="70"/>
      <c r="E29" s="70"/>
      <c r="F29" s="70"/>
      <c r="G29" s="70"/>
      <c r="H29" s="70"/>
      <c r="I29" s="68"/>
      <c r="J29" s="68"/>
      <c r="K29" s="68"/>
    </row>
    <row r="30" spans="1:11" ht="12.75">
      <c r="A30" s="68"/>
      <c r="B30" s="69"/>
      <c r="C30" s="69"/>
      <c r="D30" s="70"/>
      <c r="E30" s="70"/>
      <c r="F30" s="70"/>
      <c r="G30" s="70"/>
      <c r="H30" s="70"/>
      <c r="I30" s="68"/>
      <c r="J30" s="68"/>
      <c r="K30" s="68"/>
    </row>
    <row r="31" spans="1:11" ht="12.75">
      <c r="A31" s="68"/>
      <c r="B31" s="69"/>
      <c r="C31" s="69"/>
      <c r="D31" s="70"/>
      <c r="E31" s="70"/>
      <c r="F31" s="70"/>
      <c r="G31" s="70"/>
      <c r="H31" s="70"/>
      <c r="I31" s="68"/>
      <c r="J31" s="68"/>
      <c r="K31" s="68"/>
    </row>
    <row r="32" spans="1:11" ht="12.75">
      <c r="A32" s="68"/>
      <c r="B32" s="69"/>
      <c r="C32" s="69"/>
      <c r="D32" s="70"/>
      <c r="E32" s="70"/>
      <c r="F32" s="70"/>
      <c r="G32" s="70"/>
      <c r="H32" s="70"/>
      <c r="I32" s="68"/>
      <c r="J32" s="68"/>
      <c r="K32" s="68"/>
    </row>
    <row r="33" spans="1:11" ht="12.75">
      <c r="A33" s="68"/>
      <c r="B33" s="69"/>
      <c r="C33" s="69"/>
      <c r="D33" s="70"/>
      <c r="E33" s="70"/>
      <c r="F33" s="70"/>
      <c r="G33" s="70"/>
      <c r="H33" s="70"/>
      <c r="I33" s="68"/>
      <c r="J33" s="68"/>
      <c r="K33" s="68"/>
    </row>
    <row r="34" spans="1:11" ht="12.75">
      <c r="A34" s="68"/>
      <c r="B34" s="69"/>
      <c r="C34" s="69"/>
      <c r="D34" s="70"/>
      <c r="E34" s="70"/>
      <c r="F34" s="70"/>
      <c r="G34" s="70"/>
      <c r="H34" s="70"/>
      <c r="I34" s="68"/>
      <c r="J34" s="68"/>
      <c r="K34" s="68"/>
    </row>
    <row r="35" spans="1:11" ht="12.75">
      <c r="A35" s="68"/>
      <c r="B35" s="69"/>
      <c r="C35" s="69"/>
      <c r="D35" s="70"/>
      <c r="E35" s="70"/>
      <c r="F35" s="70"/>
      <c r="G35" s="70"/>
      <c r="H35" s="70"/>
      <c r="I35" s="68"/>
      <c r="J35" s="68"/>
      <c r="K35" s="68"/>
    </row>
    <row r="36" spans="1:11" ht="12.75">
      <c r="A36" s="68"/>
      <c r="B36" s="69"/>
      <c r="C36" s="69"/>
      <c r="D36" s="70"/>
      <c r="E36" s="70"/>
      <c r="F36" s="70"/>
      <c r="G36" s="70"/>
      <c r="H36" s="70"/>
      <c r="I36" s="68"/>
      <c r="J36" s="68"/>
      <c r="K36" s="68"/>
    </row>
    <row r="37" spans="1:11" ht="12.75">
      <c r="A37" s="68"/>
      <c r="B37" s="69"/>
      <c r="C37" s="69"/>
      <c r="D37" s="70"/>
      <c r="E37" s="70"/>
      <c r="F37" s="70"/>
      <c r="G37" s="70"/>
      <c r="H37" s="70"/>
      <c r="I37" s="68"/>
      <c r="J37" s="68"/>
      <c r="K37" s="68"/>
    </row>
  </sheetData>
  <sheetProtection/>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K467"/>
  <sheetViews>
    <sheetView zoomScalePageLayoutView="0" workbookViewId="0" topLeftCell="A1">
      <selection activeCell="C1" sqref="C1"/>
    </sheetView>
  </sheetViews>
  <sheetFormatPr defaultColWidth="9.140625" defaultRowHeight="12.75"/>
  <cols>
    <col min="1" max="1" width="25.8515625" style="723" customWidth="1"/>
    <col min="2" max="2" width="55.8515625" style="768" customWidth="1"/>
    <col min="3" max="3" width="11.7109375" style="758" customWidth="1"/>
    <col min="4" max="4" width="15.8515625" style="758" customWidth="1"/>
    <col min="5" max="11" width="10.421875" style="758" customWidth="1"/>
  </cols>
  <sheetData>
    <row r="1" spans="1:11" ht="15">
      <c r="A1" s="723" t="s">
        <v>91</v>
      </c>
      <c r="B1" s="389"/>
      <c r="C1" s="724">
        <v>46</v>
      </c>
      <c r="D1" s="724">
        <v>49</v>
      </c>
      <c r="E1" s="725" t="s">
        <v>287</v>
      </c>
      <c r="F1" s="724">
        <v>78</v>
      </c>
      <c r="G1" s="724">
        <v>90</v>
      </c>
      <c r="H1" s="724">
        <v>91</v>
      </c>
      <c r="I1" s="724">
        <v>92</v>
      </c>
      <c r="J1" s="724">
        <v>93</v>
      </c>
      <c r="K1" s="724">
        <v>60</v>
      </c>
    </row>
    <row r="2" spans="1:11" ht="15.75">
      <c r="A2" s="726" t="s">
        <v>92</v>
      </c>
      <c r="B2" s="727"/>
      <c r="C2" s="728" t="s">
        <v>1116</v>
      </c>
      <c r="D2" s="728" t="s">
        <v>1116</v>
      </c>
      <c r="E2" s="729" t="s">
        <v>1117</v>
      </c>
      <c r="F2" s="728" t="s">
        <v>1116</v>
      </c>
      <c r="G2" s="728" t="s">
        <v>1116</v>
      </c>
      <c r="H2" s="728" t="s">
        <v>1116</v>
      </c>
      <c r="I2" s="728" t="s">
        <v>1116</v>
      </c>
      <c r="J2" s="728" t="s">
        <v>1116</v>
      </c>
      <c r="K2" s="728" t="s">
        <v>1116</v>
      </c>
    </row>
    <row r="3" spans="1:11" ht="15.75">
      <c r="A3" s="730" t="s">
        <v>93</v>
      </c>
      <c r="B3" s="727" t="e">
        <f>VLOOKUP($B$1,'[3]EoI'!$A$7:$G$100,6,0)</f>
        <v>#N/A</v>
      </c>
      <c r="C3" s="731"/>
      <c r="D3" s="731"/>
      <c r="E3" s="732"/>
      <c r="F3" s="731"/>
      <c r="G3" s="731"/>
      <c r="H3" s="731"/>
      <c r="I3" s="731"/>
      <c r="J3" s="731"/>
      <c r="K3" s="731"/>
    </row>
    <row r="4" spans="1:11" ht="16.5" thickBot="1">
      <c r="A4" s="733" t="s">
        <v>94</v>
      </c>
      <c r="B4" s="734" t="s">
        <v>95</v>
      </c>
      <c r="C4" s="734" t="s">
        <v>96</v>
      </c>
      <c r="D4" s="735" t="s">
        <v>96</v>
      </c>
      <c r="E4" s="736" t="s">
        <v>96</v>
      </c>
      <c r="F4" s="735" t="s">
        <v>96</v>
      </c>
      <c r="G4" s="735" t="s">
        <v>96</v>
      </c>
      <c r="H4" s="735" t="s">
        <v>96</v>
      </c>
      <c r="I4" s="735" t="s">
        <v>96</v>
      </c>
      <c r="J4" s="735" t="s">
        <v>96</v>
      </c>
      <c r="K4" s="735" t="s">
        <v>96</v>
      </c>
    </row>
    <row r="5" spans="1:11" ht="16.5" thickBot="1">
      <c r="A5" s="737"/>
      <c r="B5" s="738"/>
      <c r="C5" s="739" t="s">
        <v>97</v>
      </c>
      <c r="D5" s="740" t="s">
        <v>97</v>
      </c>
      <c r="E5" s="741" t="s">
        <v>97</v>
      </c>
      <c r="F5" s="740" t="s">
        <v>97</v>
      </c>
      <c r="G5" s="740" t="s">
        <v>97</v>
      </c>
      <c r="H5" s="740" t="s">
        <v>97</v>
      </c>
      <c r="I5" s="740" t="s">
        <v>97</v>
      </c>
      <c r="J5" s="740" t="s">
        <v>97</v>
      </c>
      <c r="K5" s="740" t="s">
        <v>97</v>
      </c>
    </row>
    <row r="6" spans="1:11" ht="15.75">
      <c r="A6" s="742" t="s">
        <v>98</v>
      </c>
      <c r="B6" s="743" t="s">
        <v>99</v>
      </c>
      <c r="C6" s="744"/>
      <c r="D6" s="744"/>
      <c r="E6" s="745"/>
      <c r="F6" s="744"/>
      <c r="G6" s="744"/>
      <c r="H6" s="744"/>
      <c r="I6" s="744"/>
      <c r="J6" s="744"/>
      <c r="K6" s="744"/>
    </row>
    <row r="7" spans="1:11" ht="15">
      <c r="A7" s="746"/>
      <c r="B7" s="747" t="s">
        <v>100</v>
      </c>
      <c r="C7" s="748">
        <v>97</v>
      </c>
      <c r="D7" s="748">
        <v>7689</v>
      </c>
      <c r="E7" s="749">
        <v>708</v>
      </c>
      <c r="F7" s="748">
        <v>500</v>
      </c>
      <c r="G7" s="748">
        <v>9010</v>
      </c>
      <c r="H7" s="748">
        <v>12500</v>
      </c>
      <c r="I7" s="748">
        <v>20</v>
      </c>
      <c r="J7" s="748">
        <v>69</v>
      </c>
      <c r="K7" s="748" t="s">
        <v>288</v>
      </c>
    </row>
    <row r="8" spans="1:11" ht="15">
      <c r="A8" s="746"/>
      <c r="B8" s="750" t="s">
        <v>101</v>
      </c>
      <c r="C8" s="748">
        <v>100</v>
      </c>
      <c r="D8" s="748">
        <v>1000</v>
      </c>
      <c r="E8" s="749">
        <v>350</v>
      </c>
      <c r="F8" s="748">
        <v>900</v>
      </c>
      <c r="G8" s="748">
        <v>900</v>
      </c>
      <c r="H8" s="748">
        <v>2500</v>
      </c>
      <c r="I8" s="748">
        <v>10</v>
      </c>
      <c r="J8" s="748">
        <v>45</v>
      </c>
      <c r="K8" s="748">
        <v>320</v>
      </c>
    </row>
    <row r="9" spans="1:11" ht="15">
      <c r="A9" s="746"/>
      <c r="B9" s="750" t="s">
        <v>102</v>
      </c>
      <c r="C9" s="748">
        <v>0</v>
      </c>
      <c r="D9" s="748">
        <v>600</v>
      </c>
      <c r="E9" s="749">
        <v>150</v>
      </c>
      <c r="F9" s="748">
        <v>300</v>
      </c>
      <c r="G9" s="748">
        <v>500</v>
      </c>
      <c r="H9" s="748">
        <v>1200</v>
      </c>
      <c r="I9" s="748">
        <v>4</v>
      </c>
      <c r="J9" s="748">
        <v>0</v>
      </c>
      <c r="K9" s="748">
        <v>200</v>
      </c>
    </row>
    <row r="10" spans="1:11" ht="15">
      <c r="A10" s="746"/>
      <c r="B10" s="751" t="s">
        <v>103</v>
      </c>
      <c r="C10" s="752"/>
      <c r="D10" s="752"/>
      <c r="E10" s="753"/>
      <c r="F10" s="752"/>
      <c r="G10" s="752"/>
      <c r="H10" s="752"/>
      <c r="I10" s="752"/>
      <c r="J10" s="752"/>
      <c r="K10" s="754"/>
    </row>
    <row r="11" spans="1:10" ht="15">
      <c r="A11" s="746"/>
      <c r="B11" s="755" t="s">
        <v>104</v>
      </c>
      <c r="C11" s="756"/>
      <c r="D11" s="756"/>
      <c r="E11" s="757"/>
      <c r="F11" s="756"/>
      <c r="G11" s="756"/>
      <c r="H11" s="756"/>
      <c r="I11" s="756"/>
      <c r="J11" s="756"/>
    </row>
    <row r="12" spans="1:10" ht="15">
      <c r="A12" s="746"/>
      <c r="B12" s="755"/>
      <c r="C12" s="756"/>
      <c r="D12" s="756"/>
      <c r="E12" s="757"/>
      <c r="F12" s="756"/>
      <c r="G12" s="756"/>
      <c r="H12" s="756"/>
      <c r="I12" s="756"/>
      <c r="J12" s="756"/>
    </row>
    <row r="13" spans="1:11" ht="15.75">
      <c r="A13" s="742" t="s">
        <v>105</v>
      </c>
      <c r="B13" s="743" t="s">
        <v>99</v>
      </c>
      <c r="C13" s="744"/>
      <c r="D13" s="744"/>
      <c r="E13" s="745"/>
      <c r="F13" s="744"/>
      <c r="G13" s="744"/>
      <c r="H13" s="744"/>
      <c r="I13" s="744"/>
      <c r="J13" s="744"/>
      <c r="K13" s="744"/>
    </row>
    <row r="14" spans="1:11" ht="15">
      <c r="A14" s="746"/>
      <c r="B14" s="759" t="s">
        <v>106</v>
      </c>
      <c r="C14" s="754">
        <v>47</v>
      </c>
      <c r="D14" s="754">
        <v>42</v>
      </c>
      <c r="E14" s="760">
        <v>60</v>
      </c>
      <c r="F14" s="754">
        <v>3</v>
      </c>
      <c r="G14" s="754">
        <v>7</v>
      </c>
      <c r="H14" s="754">
        <v>45</v>
      </c>
      <c r="I14" s="754">
        <v>14</v>
      </c>
      <c r="J14" s="754">
        <v>7</v>
      </c>
      <c r="K14" s="754">
        <v>4</v>
      </c>
    </row>
    <row r="15" spans="1:11" ht="15">
      <c r="A15" s="746"/>
      <c r="B15" s="750" t="s">
        <v>107</v>
      </c>
      <c r="C15" s="754">
        <v>61</v>
      </c>
      <c r="D15" s="754">
        <v>42</v>
      </c>
      <c r="E15" s="760">
        <v>64</v>
      </c>
      <c r="F15" s="754">
        <v>31</v>
      </c>
      <c r="G15" s="754">
        <v>43</v>
      </c>
      <c r="H15" s="754">
        <v>45</v>
      </c>
      <c r="I15" s="754">
        <v>14</v>
      </c>
      <c r="J15" s="754">
        <v>7</v>
      </c>
      <c r="K15" s="754">
        <v>4</v>
      </c>
    </row>
    <row r="16" spans="1:11" ht="15">
      <c r="A16" s="746"/>
      <c r="B16" s="750" t="s">
        <v>108</v>
      </c>
      <c r="C16" s="754">
        <v>2</v>
      </c>
      <c r="D16" s="754" t="s">
        <v>109</v>
      </c>
      <c r="E16" s="760">
        <v>2</v>
      </c>
      <c r="F16" s="754">
        <v>2</v>
      </c>
      <c r="G16" s="754">
        <v>2</v>
      </c>
      <c r="H16" s="754">
        <v>2</v>
      </c>
      <c r="I16" s="754">
        <v>1</v>
      </c>
      <c r="J16" s="754"/>
      <c r="K16" s="754">
        <v>2</v>
      </c>
    </row>
    <row r="17" spans="1:11" ht="15">
      <c r="A17" s="746"/>
      <c r="B17" s="750" t="s">
        <v>110</v>
      </c>
      <c r="C17" s="754">
        <v>0</v>
      </c>
      <c r="D17" s="754" t="s">
        <v>111</v>
      </c>
      <c r="E17" s="760">
        <v>4</v>
      </c>
      <c r="F17" s="754">
        <v>1</v>
      </c>
      <c r="G17" s="754">
        <v>0</v>
      </c>
      <c r="H17" s="754">
        <v>1</v>
      </c>
      <c r="I17" s="754">
        <v>0</v>
      </c>
      <c r="J17" s="754">
        <v>1</v>
      </c>
      <c r="K17" s="754">
        <v>0.5</v>
      </c>
    </row>
    <row r="18" spans="1:10" ht="15">
      <c r="A18" s="746"/>
      <c r="B18" s="751" t="s">
        <v>103</v>
      </c>
      <c r="C18" s="756"/>
      <c r="D18" s="756"/>
      <c r="E18" s="757"/>
      <c r="F18" s="756"/>
      <c r="G18" s="756"/>
      <c r="H18" s="756"/>
      <c r="I18" s="756"/>
      <c r="J18" s="756"/>
    </row>
    <row r="19" spans="1:11" ht="15">
      <c r="A19" s="746"/>
      <c r="B19" s="755" t="s">
        <v>104</v>
      </c>
      <c r="C19" s="754"/>
      <c r="D19" s="754"/>
      <c r="E19" s="760"/>
      <c r="F19" s="754"/>
      <c r="G19" s="754"/>
      <c r="H19" s="754"/>
      <c r="I19" s="754"/>
      <c r="J19" s="754"/>
      <c r="K19" s="754"/>
    </row>
    <row r="20" spans="1:11" ht="15">
      <c r="A20" s="746"/>
      <c r="B20" s="755"/>
      <c r="C20" s="754"/>
      <c r="D20" s="754"/>
      <c r="E20" s="760"/>
      <c r="F20" s="754"/>
      <c r="G20" s="754"/>
      <c r="H20" s="754"/>
      <c r="I20" s="754"/>
      <c r="J20" s="754"/>
      <c r="K20" s="754"/>
    </row>
    <row r="21" spans="1:11" ht="15.75">
      <c r="A21" s="742" t="s">
        <v>112</v>
      </c>
      <c r="B21" s="743" t="s">
        <v>99</v>
      </c>
      <c r="C21" s="744"/>
      <c r="D21" s="744"/>
      <c r="E21" s="745"/>
      <c r="F21" s="744"/>
      <c r="G21" s="744"/>
      <c r="H21" s="744"/>
      <c r="I21" s="744"/>
      <c r="J21" s="744"/>
      <c r="K21" s="744"/>
    </row>
    <row r="22" spans="2:11" ht="15">
      <c r="B22" s="750" t="s">
        <v>113</v>
      </c>
      <c r="C22" s="754"/>
      <c r="D22" s="754"/>
      <c r="E22" s="760"/>
      <c r="F22" s="754"/>
      <c r="G22" s="754"/>
      <c r="H22" s="754">
        <v>1</v>
      </c>
      <c r="I22" s="754">
        <v>1</v>
      </c>
      <c r="J22" s="754"/>
      <c r="K22" s="754"/>
    </row>
    <row r="23" spans="1:11" ht="15">
      <c r="A23" s="746"/>
      <c r="B23" s="747" t="s">
        <v>114</v>
      </c>
      <c r="C23" s="754"/>
      <c r="D23" s="754">
        <v>1</v>
      </c>
      <c r="E23" s="760"/>
      <c r="F23" s="754"/>
      <c r="G23" s="754">
        <v>1</v>
      </c>
      <c r="H23" s="754"/>
      <c r="I23" s="754"/>
      <c r="J23" s="754"/>
      <c r="K23" s="754">
        <v>1</v>
      </c>
    </row>
    <row r="24" spans="1:11" ht="15">
      <c r="A24" s="746"/>
      <c r="B24" s="747" t="s">
        <v>115</v>
      </c>
      <c r="C24" s="754"/>
      <c r="D24" s="754"/>
      <c r="E24" s="760">
        <v>1</v>
      </c>
      <c r="F24" s="754">
        <v>1</v>
      </c>
      <c r="G24" s="754"/>
      <c r="H24" s="754"/>
      <c r="I24" s="754"/>
      <c r="J24" s="754">
        <v>1</v>
      </c>
      <c r="K24" s="754"/>
    </row>
    <row r="25" spans="1:11" ht="15">
      <c r="A25" s="746"/>
      <c r="B25" s="747" t="s">
        <v>116</v>
      </c>
      <c r="C25" s="754">
        <v>1</v>
      </c>
      <c r="D25" s="754"/>
      <c r="E25" s="760"/>
      <c r="F25" s="754"/>
      <c r="G25" s="754"/>
      <c r="H25" s="754"/>
      <c r="I25" s="754"/>
      <c r="J25" s="754"/>
      <c r="K25" s="754"/>
    </row>
    <row r="26" spans="1:11" ht="15">
      <c r="A26" s="746"/>
      <c r="B26" s="751" t="s">
        <v>103</v>
      </c>
      <c r="C26" s="754"/>
      <c r="D26" s="754"/>
      <c r="E26" s="760"/>
      <c r="F26" s="754"/>
      <c r="G26" s="754"/>
      <c r="H26" s="754"/>
      <c r="I26" s="754"/>
      <c r="J26" s="754"/>
      <c r="K26" s="754"/>
    </row>
    <row r="27" spans="1:11" ht="15">
      <c r="A27" s="746"/>
      <c r="B27" s="755" t="s">
        <v>104</v>
      </c>
      <c r="C27" s="754"/>
      <c r="D27" s="754"/>
      <c r="E27" s="760"/>
      <c r="F27" s="754"/>
      <c r="G27" s="754"/>
      <c r="H27" s="754"/>
      <c r="I27" s="754"/>
      <c r="J27" s="754"/>
      <c r="K27" s="754"/>
    </row>
    <row r="28" spans="1:11" ht="15">
      <c r="A28" s="746"/>
      <c r="B28" s="755"/>
      <c r="C28" s="754"/>
      <c r="D28" s="754"/>
      <c r="E28" s="760"/>
      <c r="F28" s="754"/>
      <c r="G28" s="754"/>
      <c r="H28" s="754"/>
      <c r="I28" s="754"/>
      <c r="J28" s="754"/>
      <c r="K28" s="754"/>
    </row>
    <row r="29" spans="1:11" ht="15.75">
      <c r="A29" s="742" t="s">
        <v>117</v>
      </c>
      <c r="B29" s="743" t="s">
        <v>118</v>
      </c>
      <c r="C29" s="744"/>
      <c r="D29" s="744"/>
      <c r="E29" s="745"/>
      <c r="F29" s="744"/>
      <c r="G29" s="744"/>
      <c r="H29" s="744"/>
      <c r="I29" s="744"/>
      <c r="J29" s="744"/>
      <c r="K29" s="744"/>
    </row>
    <row r="30" spans="1:11" ht="15">
      <c r="A30" s="746"/>
      <c r="B30" s="747" t="s">
        <v>119</v>
      </c>
      <c r="C30" s="754"/>
      <c r="D30" s="754"/>
      <c r="E30" s="760">
        <v>1</v>
      </c>
      <c r="F30" s="754"/>
      <c r="G30" s="754"/>
      <c r="H30" s="754"/>
      <c r="I30" s="754"/>
      <c r="J30" s="754"/>
      <c r="K30" s="754">
        <v>1</v>
      </c>
    </row>
    <row r="31" spans="1:11" ht="15">
      <c r="A31" s="746"/>
      <c r="B31" s="761" t="s">
        <v>120</v>
      </c>
      <c r="C31" s="754"/>
      <c r="D31" s="754"/>
      <c r="E31" s="760"/>
      <c r="F31" s="754"/>
      <c r="G31" s="754"/>
      <c r="H31" s="754"/>
      <c r="I31" s="754"/>
      <c r="J31" s="754"/>
      <c r="K31" s="754"/>
    </row>
    <row r="32" spans="1:11" ht="15">
      <c r="A32" s="746"/>
      <c r="B32" s="762" t="s">
        <v>121</v>
      </c>
      <c r="C32" s="754">
        <v>1</v>
      </c>
      <c r="D32" s="754"/>
      <c r="E32" s="760">
        <v>1</v>
      </c>
      <c r="F32" s="754"/>
      <c r="G32" s="754"/>
      <c r="H32" s="754"/>
      <c r="I32" s="754"/>
      <c r="J32" s="754"/>
      <c r="K32" s="754">
        <v>1</v>
      </c>
    </row>
    <row r="33" spans="1:11" ht="15">
      <c r="A33" s="746"/>
      <c r="B33" s="751" t="s">
        <v>103</v>
      </c>
      <c r="C33" s="754"/>
      <c r="D33" s="754"/>
      <c r="E33" s="760"/>
      <c r="F33" s="754"/>
      <c r="G33" s="754"/>
      <c r="H33" s="754"/>
      <c r="I33" s="754"/>
      <c r="J33" s="754"/>
      <c r="K33" s="754"/>
    </row>
    <row r="34" spans="1:11" ht="15">
      <c r="A34" s="746"/>
      <c r="B34" s="763" t="s">
        <v>289</v>
      </c>
      <c r="C34" s="754">
        <v>1</v>
      </c>
      <c r="D34" s="754"/>
      <c r="E34" s="760">
        <v>2</v>
      </c>
      <c r="F34" s="754"/>
      <c r="G34" s="754"/>
      <c r="H34" s="754"/>
      <c r="I34" s="754"/>
      <c r="J34" s="754"/>
      <c r="K34" s="760">
        <v>2</v>
      </c>
    </row>
    <row r="35" spans="1:11" ht="15">
      <c r="A35" s="746"/>
      <c r="B35" s="755"/>
      <c r="C35" s="754"/>
      <c r="D35" s="754"/>
      <c r="E35" s="760"/>
      <c r="F35" s="754"/>
      <c r="G35" s="754"/>
      <c r="H35" s="754"/>
      <c r="I35" s="754"/>
      <c r="J35" s="754"/>
      <c r="K35" s="754"/>
    </row>
    <row r="36" spans="1:11" ht="15.75">
      <c r="A36" s="742" t="s">
        <v>122</v>
      </c>
      <c r="B36" s="743" t="s">
        <v>118</v>
      </c>
      <c r="C36" s="744"/>
      <c r="D36" s="744"/>
      <c r="E36" s="745"/>
      <c r="F36" s="744"/>
      <c r="G36" s="744"/>
      <c r="H36" s="744"/>
      <c r="I36" s="744"/>
      <c r="J36" s="744"/>
      <c r="K36" s="744"/>
    </row>
    <row r="37" spans="1:11" ht="15">
      <c r="A37" s="746"/>
      <c r="B37" s="750" t="s">
        <v>123</v>
      </c>
      <c r="E37" s="764">
        <v>1</v>
      </c>
      <c r="F37" s="758">
        <v>1</v>
      </c>
      <c r="G37" s="758">
        <v>1</v>
      </c>
      <c r="J37" s="758">
        <v>1</v>
      </c>
      <c r="K37" s="758">
        <v>1</v>
      </c>
    </row>
    <row r="38" spans="2:11" ht="15">
      <c r="B38" s="750" t="s">
        <v>124</v>
      </c>
      <c r="C38" s="758">
        <v>1</v>
      </c>
      <c r="D38" s="758">
        <v>1</v>
      </c>
      <c r="E38" s="764">
        <v>1</v>
      </c>
      <c r="F38" s="758">
        <v>1</v>
      </c>
      <c r="G38" s="758">
        <v>1</v>
      </c>
      <c r="H38" s="758">
        <v>1</v>
      </c>
      <c r="I38" s="758">
        <v>1</v>
      </c>
      <c r="K38" s="758">
        <v>1</v>
      </c>
    </row>
    <row r="39" spans="1:11" ht="15">
      <c r="A39" s="746"/>
      <c r="B39" s="759" t="s">
        <v>125</v>
      </c>
      <c r="C39" s="754">
        <v>1</v>
      </c>
      <c r="D39" s="754">
        <v>1</v>
      </c>
      <c r="E39" s="760">
        <v>1</v>
      </c>
      <c r="F39" s="754">
        <v>1</v>
      </c>
      <c r="G39" s="754">
        <v>1</v>
      </c>
      <c r="H39" s="754">
        <v>1</v>
      </c>
      <c r="I39" s="754"/>
      <c r="J39" s="754"/>
      <c r="K39" s="754"/>
    </row>
    <row r="40" spans="2:11" ht="15">
      <c r="B40" s="750" t="s">
        <v>126</v>
      </c>
      <c r="C40" s="756">
        <v>1</v>
      </c>
      <c r="D40" s="756"/>
      <c r="E40" s="757">
        <v>1</v>
      </c>
      <c r="F40" s="756">
        <v>1</v>
      </c>
      <c r="G40" s="756">
        <v>1</v>
      </c>
      <c r="H40" s="756">
        <v>1</v>
      </c>
      <c r="I40" s="756"/>
      <c r="J40" s="756"/>
      <c r="K40" s="758">
        <v>1</v>
      </c>
    </row>
    <row r="41" ht="15">
      <c r="B41" s="751" t="s">
        <v>103</v>
      </c>
    </row>
    <row r="42" spans="2:11" ht="15">
      <c r="B42" s="763" t="s">
        <v>290</v>
      </c>
      <c r="C42" s="758">
        <f>SUM(C37:C41)</f>
        <v>3</v>
      </c>
      <c r="D42" s="758">
        <f aca="true" t="shared" si="0" ref="D42:K42">SUM(D37:D41)</f>
        <v>2</v>
      </c>
      <c r="E42" s="758">
        <f t="shared" si="0"/>
        <v>4</v>
      </c>
      <c r="F42" s="758">
        <f t="shared" si="0"/>
        <v>4</v>
      </c>
      <c r="G42" s="758">
        <f t="shared" si="0"/>
        <v>4</v>
      </c>
      <c r="H42" s="758">
        <f t="shared" si="0"/>
        <v>3</v>
      </c>
      <c r="I42" s="758">
        <f t="shared" si="0"/>
        <v>1</v>
      </c>
      <c r="J42" s="758">
        <f t="shared" si="0"/>
        <v>1</v>
      </c>
      <c r="K42" s="758">
        <f t="shared" si="0"/>
        <v>3</v>
      </c>
    </row>
    <row r="43" spans="2:5" ht="15">
      <c r="B43" s="763"/>
      <c r="E43" s="764"/>
    </row>
    <row r="44" spans="1:11" ht="15.75">
      <c r="A44" s="742" t="s">
        <v>127</v>
      </c>
      <c r="B44" s="743"/>
      <c r="C44" s="744"/>
      <c r="D44" s="744"/>
      <c r="E44" s="745"/>
      <c r="F44" s="744"/>
      <c r="G44" s="744"/>
      <c r="H44" s="744"/>
      <c r="I44" s="744"/>
      <c r="J44" s="744"/>
      <c r="K44" s="744"/>
    </row>
    <row r="45" spans="1:5" ht="15">
      <c r="A45" s="746"/>
      <c r="B45" s="765" t="s">
        <v>291</v>
      </c>
      <c r="E45" s="764">
        <v>1</v>
      </c>
    </row>
    <row r="46" spans="2:5" ht="15">
      <c r="B46" s="766" t="s">
        <v>128</v>
      </c>
      <c r="E46" s="764">
        <v>1</v>
      </c>
    </row>
    <row r="47" spans="2:11" ht="25.5">
      <c r="B47" s="767" t="s">
        <v>129</v>
      </c>
      <c r="C47" s="758">
        <v>1</v>
      </c>
      <c r="E47" s="764">
        <v>1</v>
      </c>
      <c r="F47" s="758">
        <v>1</v>
      </c>
      <c r="G47" s="758">
        <v>1</v>
      </c>
      <c r="H47" s="758">
        <v>1</v>
      </c>
      <c r="I47" s="758">
        <v>1</v>
      </c>
      <c r="K47" s="758">
        <v>1</v>
      </c>
    </row>
    <row r="48" spans="2:11" ht="15">
      <c r="B48" s="750" t="s">
        <v>130</v>
      </c>
      <c r="F48" s="758">
        <v>1</v>
      </c>
      <c r="H48" s="758">
        <v>1</v>
      </c>
      <c r="K48" s="758">
        <v>1</v>
      </c>
    </row>
    <row r="49" spans="2:10" ht="15">
      <c r="B49" s="751" t="s">
        <v>103</v>
      </c>
      <c r="C49" s="756"/>
      <c r="D49" s="756"/>
      <c r="E49" s="757"/>
      <c r="F49" s="756"/>
      <c r="G49" s="756"/>
      <c r="H49" s="756"/>
      <c r="I49" s="756"/>
      <c r="J49" s="756"/>
    </row>
    <row r="50" spans="2:11" ht="15">
      <c r="B50" s="763" t="s">
        <v>289</v>
      </c>
      <c r="C50" s="756">
        <f>SUM(C45:C48)</f>
        <v>1</v>
      </c>
      <c r="D50" s="756">
        <f aca="true" t="shared" si="1" ref="D50:K50">SUM(D45:D48)</f>
        <v>0</v>
      </c>
      <c r="E50" s="756">
        <f t="shared" si="1"/>
        <v>3</v>
      </c>
      <c r="F50" s="756">
        <f t="shared" si="1"/>
        <v>2</v>
      </c>
      <c r="G50" s="756">
        <f t="shared" si="1"/>
        <v>1</v>
      </c>
      <c r="H50" s="756">
        <f t="shared" si="1"/>
        <v>2</v>
      </c>
      <c r="I50" s="756">
        <f t="shared" si="1"/>
        <v>1</v>
      </c>
      <c r="J50" s="756">
        <f t="shared" si="1"/>
        <v>0</v>
      </c>
      <c r="K50" s="756">
        <f t="shared" si="1"/>
        <v>2</v>
      </c>
    </row>
    <row r="51" spans="1:10" ht="15">
      <c r="A51" s="746"/>
      <c r="C51" s="756"/>
      <c r="D51" s="756"/>
      <c r="E51" s="757"/>
      <c r="F51" s="756"/>
      <c r="G51" s="756"/>
      <c r="H51" s="756"/>
      <c r="I51" s="756"/>
      <c r="J51" s="756"/>
    </row>
    <row r="52" spans="1:11" ht="15.75">
      <c r="A52" s="742" t="s">
        <v>131</v>
      </c>
      <c r="B52" s="743" t="s">
        <v>118</v>
      </c>
      <c r="C52" s="744"/>
      <c r="D52" s="744"/>
      <c r="E52" s="745"/>
      <c r="F52" s="744"/>
      <c r="G52" s="744"/>
      <c r="H52" s="744"/>
      <c r="I52" s="744"/>
      <c r="J52" s="744"/>
      <c r="K52" s="744"/>
    </row>
    <row r="53" spans="2:10" ht="15">
      <c r="B53" s="762" t="s">
        <v>132</v>
      </c>
      <c r="C53" s="756">
        <v>1</v>
      </c>
      <c r="D53" s="756">
        <v>1</v>
      </c>
      <c r="E53" s="757"/>
      <c r="F53" s="756" t="s">
        <v>133</v>
      </c>
      <c r="G53" s="756"/>
      <c r="H53" s="756">
        <v>1</v>
      </c>
      <c r="I53" s="756">
        <v>1</v>
      </c>
      <c r="J53" s="756">
        <v>1</v>
      </c>
    </row>
    <row r="54" spans="2:11" ht="15">
      <c r="B54" s="762" t="s">
        <v>134</v>
      </c>
      <c r="C54" s="756">
        <v>1</v>
      </c>
      <c r="D54" s="756">
        <v>1</v>
      </c>
      <c r="E54" s="757"/>
      <c r="F54" s="756"/>
      <c r="G54" s="756"/>
      <c r="H54" s="756"/>
      <c r="I54" s="756"/>
      <c r="J54" s="756"/>
      <c r="K54" s="758">
        <v>1</v>
      </c>
    </row>
    <row r="55" spans="2:11" ht="15">
      <c r="B55" s="762" t="s">
        <v>135</v>
      </c>
      <c r="C55" s="756">
        <v>1</v>
      </c>
      <c r="D55" s="756"/>
      <c r="E55" s="757"/>
      <c r="F55" s="756"/>
      <c r="G55" s="756">
        <v>1</v>
      </c>
      <c r="H55" s="756">
        <v>1</v>
      </c>
      <c r="I55" s="756"/>
      <c r="J55" s="756">
        <v>1</v>
      </c>
      <c r="K55" s="758">
        <v>1</v>
      </c>
    </row>
    <row r="56" spans="2:10" ht="15">
      <c r="B56" s="751" t="s">
        <v>103</v>
      </c>
      <c r="C56" s="756"/>
      <c r="D56" s="756"/>
      <c r="E56" s="757"/>
      <c r="F56" s="756"/>
      <c r="G56" s="756"/>
      <c r="H56" s="756"/>
      <c r="I56" s="756"/>
      <c r="J56" s="756"/>
    </row>
    <row r="57" spans="2:11" ht="15">
      <c r="B57" s="763" t="s">
        <v>289</v>
      </c>
      <c r="C57" s="756">
        <f>SUM(C53:C55)</f>
        <v>3</v>
      </c>
      <c r="D57" s="756">
        <f aca="true" t="shared" si="2" ref="D57:K57">SUM(D53:D55)</f>
        <v>2</v>
      </c>
      <c r="E57" s="756">
        <f t="shared" si="2"/>
        <v>0</v>
      </c>
      <c r="F57" s="756">
        <f t="shared" si="2"/>
        <v>0</v>
      </c>
      <c r="G57" s="756">
        <f t="shared" si="2"/>
        <v>1</v>
      </c>
      <c r="H57" s="756">
        <f t="shared" si="2"/>
        <v>2</v>
      </c>
      <c r="I57" s="756">
        <f t="shared" si="2"/>
        <v>1</v>
      </c>
      <c r="J57" s="756">
        <f t="shared" si="2"/>
        <v>2</v>
      </c>
      <c r="K57" s="756">
        <f t="shared" si="2"/>
        <v>2</v>
      </c>
    </row>
    <row r="58" spans="2:10" ht="15">
      <c r="B58" s="763"/>
      <c r="C58" s="756"/>
      <c r="D58" s="756"/>
      <c r="E58" s="757"/>
      <c r="F58" s="756"/>
      <c r="G58" s="756"/>
      <c r="H58" s="756"/>
      <c r="I58" s="756"/>
      <c r="J58" s="756"/>
    </row>
    <row r="59" spans="1:11" ht="15.75">
      <c r="A59" s="742" t="s">
        <v>136</v>
      </c>
      <c r="B59" s="743" t="s">
        <v>137</v>
      </c>
      <c r="C59" s="744"/>
      <c r="D59" s="744"/>
      <c r="E59" s="745"/>
      <c r="F59" s="744"/>
      <c r="G59" s="744"/>
      <c r="H59" s="744"/>
      <c r="I59" s="744"/>
      <c r="J59" s="744"/>
      <c r="K59" s="744"/>
    </row>
    <row r="60" spans="1:11" ht="15">
      <c r="A60" s="388"/>
      <c r="B60" s="769" t="s">
        <v>138</v>
      </c>
      <c r="C60" s="754"/>
      <c r="D60" s="754"/>
      <c r="E60" s="760"/>
      <c r="F60" s="754">
        <v>1</v>
      </c>
      <c r="G60" s="754"/>
      <c r="H60" s="754">
        <v>1</v>
      </c>
      <c r="I60" s="754">
        <v>1</v>
      </c>
      <c r="J60" s="754">
        <v>1</v>
      </c>
      <c r="K60" s="754">
        <v>1</v>
      </c>
    </row>
    <row r="61" spans="1:11" ht="12.75">
      <c r="A61" s="770"/>
      <c r="B61" s="769" t="s">
        <v>139</v>
      </c>
      <c r="C61" s="752">
        <v>1</v>
      </c>
      <c r="D61" s="752">
        <v>1</v>
      </c>
      <c r="E61" s="753">
        <v>1</v>
      </c>
      <c r="F61" s="752">
        <v>1</v>
      </c>
      <c r="G61" s="752"/>
      <c r="H61" s="752"/>
      <c r="I61" s="752">
        <v>1</v>
      </c>
      <c r="J61" s="752"/>
      <c r="K61" s="754"/>
    </row>
    <row r="62" spans="1:11" ht="15">
      <c r="A62" s="388"/>
      <c r="B62" s="769" t="s">
        <v>140</v>
      </c>
      <c r="C62" s="756">
        <v>1</v>
      </c>
      <c r="D62" s="756">
        <v>1</v>
      </c>
      <c r="E62" s="757">
        <v>1</v>
      </c>
      <c r="F62" s="756">
        <v>1</v>
      </c>
      <c r="G62" s="756"/>
      <c r="H62" s="756">
        <v>1</v>
      </c>
      <c r="I62" s="756">
        <v>1</v>
      </c>
      <c r="J62" s="756"/>
      <c r="K62" s="758">
        <v>1</v>
      </c>
    </row>
    <row r="63" spans="1:11" ht="15">
      <c r="A63" s="389"/>
      <c r="B63" s="769" t="s">
        <v>141</v>
      </c>
      <c r="C63" s="754">
        <v>1</v>
      </c>
      <c r="D63" s="754"/>
      <c r="E63" s="760">
        <v>1</v>
      </c>
      <c r="F63" s="754">
        <v>1</v>
      </c>
      <c r="G63" s="754"/>
      <c r="H63" s="754"/>
      <c r="I63" s="754">
        <v>1</v>
      </c>
      <c r="J63" s="754"/>
      <c r="K63" s="754">
        <v>1</v>
      </c>
    </row>
    <row r="64" spans="1:11" ht="15">
      <c r="A64" s="389"/>
      <c r="B64" s="751" t="s">
        <v>103</v>
      </c>
      <c r="C64" s="754"/>
      <c r="D64" s="754"/>
      <c r="E64" s="760"/>
      <c r="F64" s="754"/>
      <c r="G64" s="754"/>
      <c r="H64" s="754"/>
      <c r="I64" s="754"/>
      <c r="J64" s="754"/>
      <c r="K64" s="754"/>
    </row>
    <row r="65" spans="1:11" ht="15">
      <c r="A65" s="389"/>
      <c r="B65" s="763" t="s">
        <v>292</v>
      </c>
      <c r="C65" s="754">
        <f>SUM(C61:C63)</f>
        <v>3</v>
      </c>
      <c r="D65" s="754">
        <f>SUM(D60:D63)</f>
        <v>2</v>
      </c>
      <c r="E65" s="754">
        <f aca="true" t="shared" si="3" ref="E65:K65">SUM(E60:E63)</f>
        <v>3</v>
      </c>
      <c r="F65" s="754">
        <f t="shared" si="3"/>
        <v>4</v>
      </c>
      <c r="G65" s="754">
        <f t="shared" si="3"/>
        <v>0</v>
      </c>
      <c r="H65" s="754">
        <f t="shared" si="3"/>
        <v>2</v>
      </c>
      <c r="I65" s="754">
        <f t="shared" si="3"/>
        <v>4</v>
      </c>
      <c r="J65" s="754">
        <f t="shared" si="3"/>
        <v>1</v>
      </c>
      <c r="K65" s="754">
        <f t="shared" si="3"/>
        <v>3</v>
      </c>
    </row>
    <row r="66" spans="1:11" ht="15">
      <c r="A66" s="389"/>
      <c r="B66" s="763"/>
      <c r="C66" s="754"/>
      <c r="D66" s="754"/>
      <c r="E66" s="760"/>
      <c r="F66" s="754"/>
      <c r="G66" s="754"/>
      <c r="H66" s="754"/>
      <c r="I66" s="754"/>
      <c r="J66" s="754"/>
      <c r="K66" s="754"/>
    </row>
    <row r="67" spans="1:11" ht="15.75">
      <c r="A67" s="742" t="s">
        <v>142</v>
      </c>
      <c r="B67" s="743"/>
      <c r="C67" s="744"/>
      <c r="D67" s="744"/>
      <c r="E67" s="745"/>
      <c r="F67" s="744"/>
      <c r="G67" s="744"/>
      <c r="H67" s="744"/>
      <c r="I67" s="744"/>
      <c r="J67" s="744"/>
      <c r="K67" s="744"/>
    </row>
    <row r="68" spans="2:11" ht="15">
      <c r="B68" s="766" t="s">
        <v>143</v>
      </c>
      <c r="C68" s="754" t="s">
        <v>133</v>
      </c>
      <c r="D68" s="754"/>
      <c r="E68" s="760" t="s">
        <v>133</v>
      </c>
      <c r="F68" s="754" t="s">
        <v>133</v>
      </c>
      <c r="G68" s="754"/>
      <c r="H68" s="754"/>
      <c r="I68" s="754"/>
      <c r="J68" s="754"/>
      <c r="K68" s="754"/>
    </row>
    <row r="69" spans="1:11" ht="15">
      <c r="A69" s="746"/>
      <c r="B69" s="766" t="s">
        <v>144</v>
      </c>
      <c r="C69" s="754" t="s">
        <v>133</v>
      </c>
      <c r="D69" s="754">
        <v>1</v>
      </c>
      <c r="E69" s="760" t="s">
        <v>133</v>
      </c>
      <c r="F69" s="754" t="s">
        <v>133</v>
      </c>
      <c r="G69" s="754"/>
      <c r="H69" s="754">
        <v>1</v>
      </c>
      <c r="I69" s="754">
        <v>1</v>
      </c>
      <c r="J69" s="754">
        <v>1</v>
      </c>
      <c r="K69" s="754"/>
    </row>
    <row r="70" spans="2:11" ht="15">
      <c r="B70" s="184" t="s">
        <v>145</v>
      </c>
      <c r="C70" s="754" t="s">
        <v>133</v>
      </c>
      <c r="D70" s="754"/>
      <c r="E70" s="760" t="s">
        <v>133</v>
      </c>
      <c r="F70" s="754" t="s">
        <v>133</v>
      </c>
      <c r="G70" s="754">
        <v>1</v>
      </c>
      <c r="H70" s="754"/>
      <c r="I70" s="754"/>
      <c r="J70" s="754"/>
      <c r="K70" s="754"/>
    </row>
    <row r="71" spans="1:11" ht="15">
      <c r="A71" s="746"/>
      <c r="B71" s="184" t="s">
        <v>146</v>
      </c>
      <c r="C71" s="754" t="s">
        <v>133</v>
      </c>
      <c r="D71" s="754"/>
      <c r="E71" s="760" t="s">
        <v>133</v>
      </c>
      <c r="F71" s="754" t="s">
        <v>133</v>
      </c>
      <c r="G71" s="754"/>
      <c r="H71" s="754">
        <v>1</v>
      </c>
      <c r="I71" s="754">
        <v>1</v>
      </c>
      <c r="J71" s="754">
        <v>1</v>
      </c>
      <c r="K71" s="754">
        <v>1</v>
      </c>
    </row>
    <row r="72" spans="1:11" ht="15">
      <c r="A72" s="746"/>
      <c r="B72" s="184" t="s">
        <v>147</v>
      </c>
      <c r="C72" s="752"/>
      <c r="D72" s="752"/>
      <c r="E72" s="753"/>
      <c r="F72" s="752"/>
      <c r="G72" s="752"/>
      <c r="H72" s="752"/>
      <c r="I72" s="752"/>
      <c r="J72" s="752"/>
      <c r="K72" s="754"/>
    </row>
    <row r="73" spans="1:10" ht="15">
      <c r="A73" s="746"/>
      <c r="B73" s="751" t="s">
        <v>103</v>
      </c>
      <c r="C73" s="756"/>
      <c r="D73" s="756"/>
      <c r="E73" s="757"/>
      <c r="F73" s="756"/>
      <c r="G73" s="756"/>
      <c r="H73" s="756"/>
      <c r="I73" s="756"/>
      <c r="J73" s="756"/>
    </row>
    <row r="74" spans="1:11" ht="15">
      <c r="A74" s="746"/>
      <c r="B74" s="763" t="s">
        <v>148</v>
      </c>
      <c r="C74" s="754">
        <f>SUM(C68:C71)</f>
        <v>0</v>
      </c>
      <c r="D74" s="754">
        <f aca="true" t="shared" si="4" ref="D74:K74">SUM(D68:D71)</f>
        <v>1</v>
      </c>
      <c r="E74" s="754">
        <f t="shared" si="4"/>
        <v>0</v>
      </c>
      <c r="F74" s="754">
        <f t="shared" si="4"/>
        <v>0</v>
      </c>
      <c r="G74" s="754">
        <f t="shared" si="4"/>
        <v>1</v>
      </c>
      <c r="H74" s="754">
        <f t="shared" si="4"/>
        <v>2</v>
      </c>
      <c r="I74" s="754">
        <f t="shared" si="4"/>
        <v>2</v>
      </c>
      <c r="J74" s="754">
        <f t="shared" si="4"/>
        <v>2</v>
      </c>
      <c r="K74" s="754">
        <f t="shared" si="4"/>
        <v>1</v>
      </c>
    </row>
    <row r="75" spans="1:11" ht="15">
      <c r="A75" s="746"/>
      <c r="B75" s="763"/>
      <c r="C75" s="754"/>
      <c r="D75" s="754"/>
      <c r="E75" s="760"/>
      <c r="F75" s="754"/>
      <c r="G75" s="754"/>
      <c r="H75" s="754"/>
      <c r="I75" s="754"/>
      <c r="J75" s="754"/>
      <c r="K75" s="754"/>
    </row>
    <row r="76" spans="1:11" ht="15.75">
      <c r="A76" s="742" t="s">
        <v>149</v>
      </c>
      <c r="B76" s="743"/>
      <c r="C76" s="744"/>
      <c r="D76" s="744"/>
      <c r="E76" s="745"/>
      <c r="F76" s="744"/>
      <c r="G76" s="744"/>
      <c r="H76" s="744"/>
      <c r="I76" s="744"/>
      <c r="J76" s="744"/>
      <c r="K76" s="744"/>
    </row>
    <row r="77" spans="1:11" ht="15">
      <c r="A77" s="746"/>
      <c r="B77" s="761" t="s">
        <v>150</v>
      </c>
      <c r="C77" s="754" t="s">
        <v>133</v>
      </c>
      <c r="D77" s="758">
        <v>1</v>
      </c>
      <c r="E77" s="760" t="s">
        <v>133</v>
      </c>
      <c r="F77" s="754" t="s">
        <v>133</v>
      </c>
      <c r="I77" s="758">
        <v>1</v>
      </c>
      <c r="K77" s="758">
        <v>1</v>
      </c>
    </row>
    <row r="78" spans="2:11" ht="15">
      <c r="B78" s="761" t="s">
        <v>151</v>
      </c>
      <c r="C78" s="754" t="s">
        <v>133</v>
      </c>
      <c r="D78" s="758">
        <v>1</v>
      </c>
      <c r="E78" s="760" t="s">
        <v>133</v>
      </c>
      <c r="F78" s="754" t="s">
        <v>133</v>
      </c>
      <c r="G78" s="758">
        <v>1</v>
      </c>
      <c r="K78" s="758">
        <v>1</v>
      </c>
    </row>
    <row r="79" spans="2:11" ht="15">
      <c r="B79" s="761" t="s">
        <v>152</v>
      </c>
      <c r="C79" s="754" t="s">
        <v>133</v>
      </c>
      <c r="E79" s="760" t="s">
        <v>133</v>
      </c>
      <c r="F79" s="754" t="s">
        <v>133</v>
      </c>
      <c r="K79" s="758">
        <v>1</v>
      </c>
    </row>
    <row r="80" spans="1:11" ht="15">
      <c r="A80" s="746"/>
      <c r="B80" s="761" t="s">
        <v>153</v>
      </c>
      <c r="C80" s="754" t="s">
        <v>133</v>
      </c>
      <c r="D80" s="758">
        <v>1</v>
      </c>
      <c r="E80" s="760" t="s">
        <v>133</v>
      </c>
      <c r="F80" s="754" t="s">
        <v>133</v>
      </c>
      <c r="G80" s="758">
        <v>1</v>
      </c>
      <c r="H80" s="758">
        <v>1</v>
      </c>
      <c r="I80" s="758">
        <v>1</v>
      </c>
      <c r="J80" s="758">
        <v>1</v>
      </c>
      <c r="K80" s="758">
        <v>1</v>
      </c>
    </row>
    <row r="81" spans="1:10" ht="15">
      <c r="A81" s="746"/>
      <c r="B81" s="771" t="s">
        <v>154</v>
      </c>
      <c r="C81" s="756"/>
      <c r="D81" s="756"/>
      <c r="E81" s="757"/>
      <c r="F81" s="756"/>
      <c r="G81" s="756"/>
      <c r="H81" s="756"/>
      <c r="I81" s="756"/>
      <c r="J81" s="756"/>
    </row>
    <row r="82" spans="1:5" ht="15">
      <c r="A82" s="746"/>
      <c r="B82" s="751" t="s">
        <v>103</v>
      </c>
      <c r="E82" s="764"/>
    </row>
    <row r="83" spans="1:11" ht="15">
      <c r="A83" s="746"/>
      <c r="B83" s="763" t="s">
        <v>293</v>
      </c>
      <c r="C83" s="758">
        <f>SUM(C77:C81)</f>
        <v>0</v>
      </c>
      <c r="D83" s="758">
        <f aca="true" t="shared" si="5" ref="D83:K83">SUM(D77:D81)</f>
        <v>3</v>
      </c>
      <c r="E83" s="758">
        <f t="shared" si="5"/>
        <v>0</v>
      </c>
      <c r="F83" s="758">
        <f t="shared" si="5"/>
        <v>0</v>
      </c>
      <c r="G83" s="758">
        <f t="shared" si="5"/>
        <v>2</v>
      </c>
      <c r="H83" s="758">
        <f t="shared" si="5"/>
        <v>1</v>
      </c>
      <c r="I83" s="758">
        <f t="shared" si="5"/>
        <v>2</v>
      </c>
      <c r="J83" s="758">
        <f t="shared" si="5"/>
        <v>1</v>
      </c>
      <c r="K83" s="758">
        <f t="shared" si="5"/>
        <v>4</v>
      </c>
    </row>
    <row r="84" spans="1:2" ht="15">
      <c r="A84" s="746"/>
      <c r="B84" s="763"/>
    </row>
    <row r="85" spans="1:11" ht="15.75">
      <c r="A85" s="742" t="s">
        <v>155</v>
      </c>
      <c r="B85" s="743"/>
      <c r="C85" s="744"/>
      <c r="D85" s="744"/>
      <c r="E85" s="745"/>
      <c r="F85" s="744"/>
      <c r="G85" s="744"/>
      <c r="H85" s="744"/>
      <c r="I85" s="744"/>
      <c r="J85" s="744"/>
      <c r="K85" s="744"/>
    </row>
    <row r="86" spans="1:11" ht="15">
      <c r="A86" s="746"/>
      <c r="B86" s="766" t="s">
        <v>156</v>
      </c>
      <c r="C86" s="772">
        <v>0.84</v>
      </c>
      <c r="D86" s="772">
        <v>0.6</v>
      </c>
      <c r="E86" s="773">
        <v>1</v>
      </c>
      <c r="F86" s="772">
        <v>0.2</v>
      </c>
      <c r="G86" s="772">
        <v>0.1</v>
      </c>
      <c r="H86" s="772">
        <v>0.01</v>
      </c>
      <c r="I86" s="772">
        <v>0.8</v>
      </c>
      <c r="J86" s="772">
        <v>0.33</v>
      </c>
      <c r="K86" s="772">
        <v>1</v>
      </c>
    </row>
    <row r="87" spans="1:11" ht="15">
      <c r="A87" s="746"/>
      <c r="B87" s="766" t="s">
        <v>157</v>
      </c>
      <c r="C87" s="772">
        <v>0.17</v>
      </c>
      <c r="D87" s="772">
        <v>1</v>
      </c>
      <c r="E87" s="773">
        <v>1</v>
      </c>
      <c r="F87" s="772">
        <v>1</v>
      </c>
      <c r="G87" s="772">
        <v>0.5</v>
      </c>
      <c r="H87" s="772"/>
      <c r="I87" s="772">
        <v>1</v>
      </c>
      <c r="J87" s="772">
        <v>0.05</v>
      </c>
      <c r="K87" s="772">
        <v>1</v>
      </c>
    </row>
    <row r="88" spans="2:10" ht="15">
      <c r="B88" s="751" t="s">
        <v>103</v>
      </c>
      <c r="C88" s="756"/>
      <c r="D88" s="756"/>
      <c r="E88" s="757"/>
      <c r="F88" s="756"/>
      <c r="G88" s="756"/>
      <c r="H88" s="756"/>
      <c r="I88" s="756"/>
      <c r="J88" s="756"/>
    </row>
    <row r="89" ht="15">
      <c r="B89" s="763" t="s">
        <v>158</v>
      </c>
    </row>
    <row r="90" ht="15">
      <c r="B90" s="763"/>
    </row>
    <row r="91" spans="1:11" ht="15.75">
      <c r="A91" s="742" t="s">
        <v>159</v>
      </c>
      <c r="B91" s="743"/>
      <c r="C91" s="744"/>
      <c r="D91" s="744"/>
      <c r="E91" s="745"/>
      <c r="F91" s="744"/>
      <c r="G91" s="744"/>
      <c r="H91" s="744"/>
      <c r="I91" s="744"/>
      <c r="J91" s="744"/>
      <c r="K91" s="744"/>
    </row>
    <row r="92" spans="1:11" ht="15">
      <c r="A92" s="746"/>
      <c r="B92" s="766" t="s">
        <v>160</v>
      </c>
      <c r="C92" s="758">
        <v>1</v>
      </c>
      <c r="D92" s="758">
        <v>1</v>
      </c>
      <c r="E92" s="764">
        <v>1</v>
      </c>
      <c r="F92" s="758">
        <v>1</v>
      </c>
      <c r="G92" s="758">
        <v>1</v>
      </c>
      <c r="H92" s="758">
        <v>1</v>
      </c>
      <c r="I92" s="758">
        <v>1</v>
      </c>
      <c r="J92" s="758">
        <v>1</v>
      </c>
      <c r="K92" s="758">
        <v>1</v>
      </c>
    </row>
    <row r="93" spans="2:8" ht="15">
      <c r="B93" s="766" t="s">
        <v>161</v>
      </c>
      <c r="C93" s="758" t="s">
        <v>133</v>
      </c>
      <c r="D93" s="758">
        <v>1</v>
      </c>
      <c r="E93" s="753"/>
      <c r="F93" s="758">
        <v>1</v>
      </c>
      <c r="G93" s="758">
        <v>1</v>
      </c>
      <c r="H93" s="758">
        <v>1</v>
      </c>
    </row>
    <row r="94" spans="2:11" ht="15">
      <c r="B94" s="766" t="s">
        <v>162</v>
      </c>
      <c r="D94" s="758">
        <v>1</v>
      </c>
      <c r="E94" s="753"/>
      <c r="F94" s="758">
        <v>1</v>
      </c>
      <c r="G94" s="758">
        <v>1</v>
      </c>
      <c r="H94" s="758">
        <v>1</v>
      </c>
      <c r="I94" s="758">
        <v>1</v>
      </c>
      <c r="K94" s="758">
        <v>1</v>
      </c>
    </row>
    <row r="95" spans="2:11" ht="15">
      <c r="B95" s="766" t="s">
        <v>163</v>
      </c>
      <c r="C95" s="752">
        <v>1</v>
      </c>
      <c r="D95" s="752">
        <v>1</v>
      </c>
      <c r="E95" s="753"/>
      <c r="F95" s="752">
        <v>1</v>
      </c>
      <c r="G95" s="752"/>
      <c r="H95" s="752">
        <v>1</v>
      </c>
      <c r="I95" s="752"/>
      <c r="J95" s="752">
        <v>1</v>
      </c>
      <c r="K95" s="754">
        <v>1</v>
      </c>
    </row>
    <row r="96" spans="2:5" ht="15">
      <c r="B96" s="751" t="s">
        <v>103</v>
      </c>
      <c r="E96" s="753"/>
    </row>
    <row r="97" spans="2:11" ht="15">
      <c r="B97" s="763" t="s">
        <v>294</v>
      </c>
      <c r="C97" s="758">
        <f aca="true" t="shared" si="6" ref="C97:K97">SUM(C92:C95)</f>
        <v>2</v>
      </c>
      <c r="D97" s="758">
        <f t="shared" si="6"/>
        <v>4</v>
      </c>
      <c r="E97" s="758">
        <f t="shared" si="6"/>
        <v>1</v>
      </c>
      <c r="F97" s="758">
        <f t="shared" si="6"/>
        <v>4</v>
      </c>
      <c r="G97" s="758">
        <f t="shared" si="6"/>
        <v>3</v>
      </c>
      <c r="H97" s="758">
        <f t="shared" si="6"/>
        <v>4</v>
      </c>
      <c r="I97" s="758">
        <f t="shared" si="6"/>
        <v>2</v>
      </c>
      <c r="J97" s="758">
        <f t="shared" si="6"/>
        <v>2</v>
      </c>
      <c r="K97" s="758">
        <f t="shared" si="6"/>
        <v>3</v>
      </c>
    </row>
    <row r="98" spans="1:5" ht="15">
      <c r="A98" s="389"/>
      <c r="E98" s="764"/>
    </row>
    <row r="99" spans="1:5" ht="15.75">
      <c r="A99" s="774"/>
      <c r="E99" s="764"/>
    </row>
    <row r="100" spans="1:5" ht="15">
      <c r="A100" s="389"/>
      <c r="B100" s="768" t="s">
        <v>684</v>
      </c>
      <c r="E100" s="764"/>
    </row>
    <row r="101" spans="1:11" ht="15">
      <c r="A101" s="389"/>
      <c r="B101" s="768" t="s">
        <v>465</v>
      </c>
      <c r="C101" s="758">
        <f>(C34+C42+C50+C57)/13</f>
        <v>0.6153846153846154</v>
      </c>
      <c r="D101" s="758">
        <f aca="true" t="shared" si="7" ref="D101:K101">(D34+D42+D50+D57)/13</f>
        <v>0.3076923076923077</v>
      </c>
      <c r="E101" s="758">
        <f t="shared" si="7"/>
        <v>0.6923076923076923</v>
      </c>
      <c r="F101" s="758">
        <f t="shared" si="7"/>
        <v>0.46153846153846156</v>
      </c>
      <c r="G101" s="758">
        <f t="shared" si="7"/>
        <v>0.46153846153846156</v>
      </c>
      <c r="H101" s="758">
        <f t="shared" si="7"/>
        <v>0.5384615384615384</v>
      </c>
      <c r="I101" s="758">
        <f t="shared" si="7"/>
        <v>0.23076923076923078</v>
      </c>
      <c r="J101" s="758">
        <f t="shared" si="7"/>
        <v>0.23076923076923078</v>
      </c>
      <c r="K101" s="758">
        <f t="shared" si="7"/>
        <v>0.6923076923076923</v>
      </c>
    </row>
    <row r="102" ht="15">
      <c r="A102" s="389"/>
    </row>
    <row r="103" spans="1:11" ht="15">
      <c r="A103" s="389"/>
      <c r="B103" s="768" t="s">
        <v>230</v>
      </c>
      <c r="C103" s="758">
        <f>(C65+C74+C83+C97)/10</f>
        <v>0.5</v>
      </c>
      <c r="D103" s="758">
        <f aca="true" t="shared" si="8" ref="D103:K103">(D65+D74+D83+D97)/10</f>
        <v>1</v>
      </c>
      <c r="E103" s="758">
        <f t="shared" si="8"/>
        <v>0.4</v>
      </c>
      <c r="F103" s="758">
        <f t="shared" si="8"/>
        <v>0.8</v>
      </c>
      <c r="G103" s="758">
        <f t="shared" si="8"/>
        <v>0.6</v>
      </c>
      <c r="H103" s="758">
        <f t="shared" si="8"/>
        <v>0.9</v>
      </c>
      <c r="I103" s="758">
        <f t="shared" si="8"/>
        <v>1</v>
      </c>
      <c r="J103" s="758">
        <f t="shared" si="8"/>
        <v>0.6</v>
      </c>
      <c r="K103" s="758">
        <f t="shared" si="8"/>
        <v>1.1</v>
      </c>
    </row>
    <row r="104" spans="1:5" ht="15">
      <c r="A104" s="389"/>
      <c r="E104" s="764"/>
    </row>
    <row r="105" spans="1:5" ht="15">
      <c r="A105" s="389"/>
      <c r="E105" s="764"/>
    </row>
    <row r="106" spans="1:5" ht="15">
      <c r="A106" s="746"/>
      <c r="E106" s="764"/>
    </row>
    <row r="107" spans="1:5" ht="15">
      <c r="A107" s="389"/>
      <c r="E107" s="764"/>
    </row>
    <row r="108" spans="1:5" ht="15">
      <c r="A108" s="389"/>
      <c r="E108" s="764"/>
    </row>
    <row r="109" spans="1:5" ht="15">
      <c r="A109" s="389"/>
      <c r="E109" s="764"/>
    </row>
    <row r="110" spans="1:5" ht="15">
      <c r="A110" s="389"/>
      <c r="E110" s="764"/>
    </row>
    <row r="111" spans="1:5" ht="15">
      <c r="A111" s="389"/>
      <c r="E111" s="764"/>
    </row>
    <row r="112" spans="1:5" ht="15">
      <c r="A112" s="746"/>
      <c r="E112" s="764"/>
    </row>
    <row r="113" spans="1:5" ht="15">
      <c r="A113" s="389"/>
      <c r="E113" s="764"/>
    </row>
    <row r="114" spans="1:5" ht="15">
      <c r="A114" s="389"/>
      <c r="E114" s="764"/>
    </row>
    <row r="115" spans="1:5" ht="15">
      <c r="A115" s="389"/>
      <c r="E115" s="764"/>
    </row>
    <row r="116" spans="1:5" ht="15">
      <c r="A116" s="389"/>
      <c r="E116" s="764"/>
    </row>
    <row r="117" spans="1:5" ht="15">
      <c r="A117" s="389"/>
      <c r="E117" s="764"/>
    </row>
    <row r="118" spans="1:5" ht="15">
      <c r="A118" s="389"/>
      <c r="E118" s="764"/>
    </row>
    <row r="119" spans="1:5" ht="15">
      <c r="A119" s="746"/>
      <c r="E119" s="764"/>
    </row>
    <row r="120" spans="1:5" ht="15">
      <c r="A120" s="389"/>
      <c r="E120" s="764"/>
    </row>
    <row r="121" spans="1:5" ht="15">
      <c r="A121" s="389"/>
      <c r="E121" s="764"/>
    </row>
    <row r="122" spans="1:5" ht="15">
      <c r="A122" s="389"/>
      <c r="E122" s="764"/>
    </row>
    <row r="123" spans="1:5" ht="15">
      <c r="A123" s="389"/>
      <c r="E123" s="764"/>
    </row>
    <row r="124" spans="1:5" ht="15">
      <c r="A124" s="389"/>
      <c r="E124" s="764"/>
    </row>
    <row r="125" spans="1:5" ht="15">
      <c r="A125" s="389"/>
      <c r="E125" s="764"/>
    </row>
    <row r="126" spans="1:5" ht="12.75">
      <c r="A126" s="775"/>
      <c r="E126" s="764"/>
    </row>
    <row r="127" spans="1:5" ht="12.75">
      <c r="A127" s="775"/>
      <c r="E127" s="764"/>
    </row>
    <row r="128" spans="1:5" ht="15">
      <c r="A128" s="746"/>
      <c r="E128" s="764"/>
    </row>
    <row r="129" spans="1:5" ht="15">
      <c r="A129" s="389"/>
      <c r="E129" s="764"/>
    </row>
    <row r="130" spans="1:5" ht="15">
      <c r="A130" s="389"/>
      <c r="E130" s="764"/>
    </row>
    <row r="131" spans="1:5" ht="15">
      <c r="A131" s="389"/>
      <c r="E131" s="764"/>
    </row>
    <row r="132" spans="1:5" ht="15">
      <c r="A132" s="389"/>
      <c r="E132" s="764"/>
    </row>
    <row r="133" spans="1:5" ht="15">
      <c r="A133" s="389"/>
      <c r="E133" s="764"/>
    </row>
    <row r="134" spans="1:5" ht="15">
      <c r="A134" s="389"/>
      <c r="E134" s="764"/>
    </row>
    <row r="135" spans="1:5" ht="15">
      <c r="A135" s="746"/>
      <c r="E135" s="764"/>
    </row>
    <row r="136" spans="1:5" ht="15">
      <c r="A136" s="389"/>
      <c r="E136" s="764"/>
    </row>
    <row r="137" spans="1:5" ht="15">
      <c r="A137" s="389"/>
      <c r="E137" s="764"/>
    </row>
    <row r="138" spans="1:5" ht="15">
      <c r="A138" s="389"/>
      <c r="E138" s="764"/>
    </row>
    <row r="139" spans="1:5" ht="15">
      <c r="A139" s="389"/>
      <c r="E139" s="764"/>
    </row>
    <row r="140" spans="1:5" ht="15">
      <c r="A140" s="389"/>
      <c r="E140" s="764"/>
    </row>
    <row r="141" spans="1:5" ht="15">
      <c r="A141" s="389"/>
      <c r="E141" s="764"/>
    </row>
    <row r="142" spans="1:5" ht="15">
      <c r="A142" s="389"/>
      <c r="E142" s="764"/>
    </row>
    <row r="143" spans="1:5" ht="15">
      <c r="A143" s="746"/>
      <c r="E143" s="764"/>
    </row>
    <row r="144" spans="1:5" ht="15">
      <c r="A144" s="389"/>
      <c r="E144" s="764"/>
    </row>
    <row r="145" spans="1:5" ht="15">
      <c r="A145" s="389"/>
      <c r="E145" s="764"/>
    </row>
    <row r="146" spans="1:5" ht="15">
      <c r="A146" s="389"/>
      <c r="E146" s="764"/>
    </row>
    <row r="147" spans="1:5" ht="15">
      <c r="A147" s="389"/>
      <c r="E147" s="764"/>
    </row>
    <row r="148" spans="1:5" ht="15">
      <c r="A148" s="389"/>
      <c r="E148" s="764"/>
    </row>
    <row r="149" spans="1:5" ht="15">
      <c r="A149" s="776"/>
      <c r="E149" s="764"/>
    </row>
    <row r="150" spans="1:5" ht="15">
      <c r="A150" s="389"/>
      <c r="E150" s="764"/>
    </row>
    <row r="151" spans="1:5" ht="15">
      <c r="A151" s="389"/>
      <c r="E151" s="764"/>
    </row>
    <row r="152" spans="1:5" ht="15">
      <c r="A152" s="389"/>
      <c r="E152" s="764"/>
    </row>
    <row r="153" spans="1:5" ht="15">
      <c r="A153" s="389"/>
      <c r="E153" s="764"/>
    </row>
    <row r="154" spans="1:5" ht="15">
      <c r="A154" s="389"/>
      <c r="E154" s="764"/>
    </row>
    <row r="155" spans="1:5" ht="15">
      <c r="A155" s="389"/>
      <c r="E155" s="764"/>
    </row>
    <row r="156" spans="1:5" ht="15">
      <c r="A156" s="389"/>
      <c r="E156" s="764"/>
    </row>
    <row r="157" spans="1:5" ht="15">
      <c r="A157" s="389"/>
      <c r="E157" s="764"/>
    </row>
    <row r="158" spans="1:5" ht="15">
      <c r="A158" s="389"/>
      <c r="E158" s="764"/>
    </row>
    <row r="159" spans="1:5" ht="15">
      <c r="A159" s="389"/>
      <c r="E159" s="764"/>
    </row>
    <row r="160" spans="1:5" ht="15">
      <c r="A160" s="389"/>
      <c r="E160" s="764"/>
    </row>
    <row r="161" spans="1:5" ht="15">
      <c r="A161" s="389"/>
      <c r="E161" s="764"/>
    </row>
    <row r="162" spans="1:5" ht="15">
      <c r="A162" s="389"/>
      <c r="E162" s="764"/>
    </row>
    <row r="163" spans="1:5" ht="15">
      <c r="A163" s="389"/>
      <c r="E163" s="764"/>
    </row>
    <row r="164" spans="1:5" ht="15">
      <c r="A164" s="389"/>
      <c r="E164" s="764"/>
    </row>
    <row r="165" spans="1:5" ht="15">
      <c r="A165" s="389"/>
      <c r="E165" s="764"/>
    </row>
    <row r="166" spans="1:5" ht="15">
      <c r="A166" s="389"/>
      <c r="E166" s="764"/>
    </row>
    <row r="167" spans="1:5" ht="15">
      <c r="A167" s="389"/>
      <c r="E167" s="764"/>
    </row>
    <row r="168" spans="1:5" ht="15">
      <c r="A168" s="389"/>
      <c r="E168" s="764"/>
    </row>
    <row r="169" spans="1:5" ht="15">
      <c r="A169" s="389"/>
      <c r="E169" s="764"/>
    </row>
    <row r="170" spans="1:5" ht="15">
      <c r="A170" s="389"/>
      <c r="E170" s="764"/>
    </row>
    <row r="171" spans="1:5" ht="15">
      <c r="A171" s="389"/>
      <c r="E171" s="764"/>
    </row>
    <row r="172" spans="1:5" ht="15">
      <c r="A172" s="389"/>
      <c r="E172" s="764"/>
    </row>
    <row r="173" spans="1:5" ht="15">
      <c r="A173" s="389"/>
      <c r="E173" s="764"/>
    </row>
    <row r="174" spans="1:5" ht="15">
      <c r="A174" s="389"/>
      <c r="E174" s="764"/>
    </row>
    <row r="175" spans="1:5" ht="15">
      <c r="A175" s="389"/>
      <c r="E175" s="764"/>
    </row>
    <row r="176" spans="1:5" ht="15">
      <c r="A176" s="389"/>
      <c r="E176" s="764"/>
    </row>
    <row r="177" spans="1:5" ht="15">
      <c r="A177" s="389"/>
      <c r="E177" s="764"/>
    </row>
    <row r="178" spans="1:5" ht="15">
      <c r="A178" s="389"/>
      <c r="E178" s="764"/>
    </row>
    <row r="179" spans="1:5" ht="15">
      <c r="A179" s="389"/>
      <c r="E179" s="764"/>
    </row>
    <row r="180" spans="1:5" ht="15">
      <c r="A180" s="389"/>
      <c r="E180" s="764"/>
    </row>
    <row r="181" spans="1:5" ht="15">
      <c r="A181" s="389"/>
      <c r="E181" s="764"/>
    </row>
    <row r="182" spans="1:5" ht="15">
      <c r="A182" s="389"/>
      <c r="E182" s="764"/>
    </row>
    <row r="183" spans="1:5" ht="15">
      <c r="A183" s="389"/>
      <c r="E183" s="764"/>
    </row>
    <row r="184" spans="1:5" ht="15">
      <c r="A184" s="389"/>
      <c r="E184" s="764"/>
    </row>
    <row r="185" spans="1:5" ht="15">
      <c r="A185" s="389"/>
      <c r="E185" s="764"/>
    </row>
    <row r="186" spans="1:5" ht="15">
      <c r="A186" s="389"/>
      <c r="E186" s="764"/>
    </row>
    <row r="187" spans="1:5" ht="15">
      <c r="A187" s="389"/>
      <c r="E187" s="764"/>
    </row>
    <row r="188" spans="1:5" ht="15">
      <c r="A188" s="389"/>
      <c r="E188" s="764"/>
    </row>
    <row r="189" spans="1:5" ht="15">
      <c r="A189" s="389"/>
      <c r="E189" s="764"/>
    </row>
    <row r="190" spans="1:5" ht="15">
      <c r="A190" s="389"/>
      <c r="E190" s="764"/>
    </row>
    <row r="191" spans="1:5" ht="15">
      <c r="A191" s="389"/>
      <c r="E191" s="764"/>
    </row>
    <row r="192" spans="1:5" ht="15">
      <c r="A192" s="389"/>
      <c r="E192" s="764"/>
    </row>
    <row r="193" spans="1:5" ht="15">
      <c r="A193" s="389"/>
      <c r="E193" s="764"/>
    </row>
    <row r="194" spans="1:5" ht="15">
      <c r="A194" s="389"/>
      <c r="E194" s="764"/>
    </row>
    <row r="195" spans="1:5" ht="15">
      <c r="A195" s="389"/>
      <c r="E195" s="764"/>
    </row>
    <row r="196" spans="1:5" ht="15">
      <c r="A196" s="389"/>
      <c r="E196" s="764"/>
    </row>
    <row r="197" spans="1:5" ht="15">
      <c r="A197" s="389"/>
      <c r="E197" s="764"/>
    </row>
    <row r="198" spans="1:5" ht="15">
      <c r="A198" s="389"/>
      <c r="E198" s="764"/>
    </row>
    <row r="199" spans="1:5" ht="15">
      <c r="A199" s="389"/>
      <c r="E199" s="764"/>
    </row>
    <row r="200" spans="1:5" ht="15">
      <c r="A200" s="389"/>
      <c r="E200" s="764"/>
    </row>
    <row r="201" spans="1:5" ht="15">
      <c r="A201" s="389"/>
      <c r="E201" s="764"/>
    </row>
    <row r="202" spans="1:5" ht="15">
      <c r="A202" s="389"/>
      <c r="E202" s="764"/>
    </row>
    <row r="203" spans="1:5" ht="15">
      <c r="A203" s="389"/>
      <c r="E203" s="764"/>
    </row>
    <row r="204" spans="1:5" ht="15">
      <c r="A204" s="389"/>
      <c r="E204" s="764"/>
    </row>
    <row r="205" spans="1:5" ht="15">
      <c r="A205" s="389"/>
      <c r="E205" s="764"/>
    </row>
    <row r="206" spans="1:5" ht="15">
      <c r="A206" s="389"/>
      <c r="E206" s="764"/>
    </row>
    <row r="207" spans="1:5" ht="15">
      <c r="A207" s="389"/>
      <c r="E207" s="764"/>
    </row>
    <row r="208" spans="1:5" ht="15">
      <c r="A208" s="389"/>
      <c r="E208" s="764"/>
    </row>
    <row r="209" spans="1:5" ht="15">
      <c r="A209" s="389"/>
      <c r="E209" s="764"/>
    </row>
    <row r="210" spans="1:5" ht="15">
      <c r="A210" s="389"/>
      <c r="E210" s="764"/>
    </row>
    <row r="211" spans="1:5" ht="15">
      <c r="A211" s="389"/>
      <c r="E211" s="764"/>
    </row>
    <row r="212" spans="1:5" ht="15">
      <c r="A212" s="389"/>
      <c r="E212" s="764"/>
    </row>
    <row r="213" spans="1:5" ht="15">
      <c r="A213" s="389"/>
      <c r="E213" s="764"/>
    </row>
    <row r="214" spans="1:5" ht="15">
      <c r="A214" s="389"/>
      <c r="E214" s="764"/>
    </row>
    <row r="215" spans="1:5" ht="15">
      <c r="A215" s="389"/>
      <c r="E215" s="764"/>
    </row>
    <row r="216" spans="1:5" ht="15.75">
      <c r="A216" s="777"/>
      <c r="E216" s="764"/>
    </row>
    <row r="217" spans="1:5" ht="12.75">
      <c r="A217" s="775"/>
      <c r="E217" s="764"/>
    </row>
    <row r="218" spans="1:5" ht="15">
      <c r="A218" s="389"/>
      <c r="E218" s="764"/>
    </row>
    <row r="219" spans="1:5" ht="15">
      <c r="A219" s="389"/>
      <c r="E219" s="764"/>
    </row>
    <row r="220" spans="1:5" ht="15">
      <c r="A220" s="389"/>
      <c r="E220" s="764"/>
    </row>
    <row r="221" spans="1:5" ht="15">
      <c r="A221" s="389"/>
      <c r="E221" s="764"/>
    </row>
    <row r="222" spans="1:5" ht="15">
      <c r="A222" s="389"/>
      <c r="E222" s="764"/>
    </row>
    <row r="223" spans="1:5" ht="15">
      <c r="A223" s="389"/>
      <c r="E223" s="764"/>
    </row>
    <row r="224" spans="1:5" ht="15">
      <c r="A224" s="389"/>
      <c r="E224" s="764"/>
    </row>
    <row r="225" spans="1:5" ht="15">
      <c r="A225" s="389"/>
      <c r="E225" s="764"/>
    </row>
    <row r="226" spans="1:5" ht="15">
      <c r="A226" s="389"/>
      <c r="E226" s="764"/>
    </row>
    <row r="227" spans="1:5" ht="15">
      <c r="A227" s="389"/>
      <c r="E227" s="764"/>
    </row>
    <row r="228" spans="1:5" ht="15">
      <c r="A228" s="389"/>
      <c r="E228" s="764"/>
    </row>
    <row r="229" spans="1:5" ht="15">
      <c r="A229" s="389"/>
      <c r="E229" s="764"/>
    </row>
    <row r="230" spans="1:5" ht="15">
      <c r="A230" s="389"/>
      <c r="E230" s="764"/>
    </row>
    <row r="231" spans="1:5" ht="15">
      <c r="A231" s="389"/>
      <c r="E231" s="764"/>
    </row>
    <row r="232" spans="1:5" ht="15">
      <c r="A232" s="389"/>
      <c r="E232" s="764"/>
    </row>
    <row r="233" spans="1:5" ht="15">
      <c r="A233" s="389"/>
      <c r="E233" s="764"/>
    </row>
    <row r="234" spans="1:5" ht="15">
      <c r="A234" s="389"/>
      <c r="E234" s="764"/>
    </row>
    <row r="235" spans="1:5" ht="15">
      <c r="A235" s="389"/>
      <c r="E235" s="764"/>
    </row>
    <row r="236" spans="1:5" ht="15">
      <c r="A236" s="389"/>
      <c r="E236" s="764"/>
    </row>
    <row r="237" spans="1:5" ht="15">
      <c r="A237" s="389"/>
      <c r="E237" s="764"/>
    </row>
    <row r="238" spans="1:5" ht="15">
      <c r="A238" s="389"/>
      <c r="E238" s="764"/>
    </row>
    <row r="239" spans="1:5" ht="15">
      <c r="A239" s="389"/>
      <c r="E239" s="764"/>
    </row>
    <row r="240" spans="1:5" ht="15">
      <c r="A240" s="389"/>
      <c r="E240" s="764"/>
    </row>
    <row r="241" spans="1:5" ht="15">
      <c r="A241" s="389"/>
      <c r="E241" s="764"/>
    </row>
    <row r="242" spans="1:5" ht="15">
      <c r="A242" s="389"/>
      <c r="E242" s="764"/>
    </row>
    <row r="243" spans="1:5" ht="15">
      <c r="A243" s="389"/>
      <c r="E243" s="764"/>
    </row>
    <row r="244" spans="1:5" ht="15">
      <c r="A244" s="778"/>
      <c r="E244" s="764"/>
    </row>
    <row r="245" spans="1:5" ht="15">
      <c r="A245" s="389"/>
      <c r="E245" s="764"/>
    </row>
    <row r="246" spans="1:5" ht="15">
      <c r="A246" s="389"/>
      <c r="E246" s="764"/>
    </row>
    <row r="247" spans="1:5" ht="15">
      <c r="A247" s="389"/>
      <c r="E247" s="764"/>
    </row>
    <row r="248" spans="1:5" ht="15">
      <c r="A248" s="389"/>
      <c r="E248" s="764"/>
    </row>
    <row r="249" spans="1:5" ht="15">
      <c r="A249" s="389"/>
      <c r="E249" s="764"/>
    </row>
    <row r="250" spans="1:5" ht="15">
      <c r="A250" s="389"/>
      <c r="E250" s="764"/>
    </row>
    <row r="251" spans="1:5" ht="15">
      <c r="A251" s="389"/>
      <c r="E251" s="764"/>
    </row>
    <row r="252" spans="1:5" ht="15">
      <c r="A252" s="389"/>
      <c r="E252" s="764"/>
    </row>
    <row r="253" spans="1:5" ht="15">
      <c r="A253" s="389"/>
      <c r="E253" s="764"/>
    </row>
    <row r="254" spans="1:5" ht="15">
      <c r="A254" s="389"/>
      <c r="E254" s="764"/>
    </row>
    <row r="255" spans="1:5" ht="15">
      <c r="A255" s="389"/>
      <c r="E255" s="764"/>
    </row>
    <row r="256" spans="1:5" ht="15">
      <c r="A256" s="389"/>
      <c r="E256" s="764"/>
    </row>
    <row r="257" spans="1:5" ht="15">
      <c r="A257" s="389"/>
      <c r="E257" s="764"/>
    </row>
    <row r="258" spans="1:5" ht="15">
      <c r="A258" s="389"/>
      <c r="E258" s="764"/>
    </row>
    <row r="259" spans="1:5" ht="15">
      <c r="A259" s="389"/>
      <c r="E259" s="764"/>
    </row>
    <row r="260" spans="1:5" ht="15">
      <c r="A260" s="389"/>
      <c r="E260" s="764"/>
    </row>
    <row r="261" spans="1:5" ht="15">
      <c r="A261" s="389"/>
      <c r="E261" s="764"/>
    </row>
    <row r="262" spans="1:5" ht="15">
      <c r="A262" s="389"/>
      <c r="E262" s="764"/>
    </row>
    <row r="263" spans="1:5" ht="15">
      <c r="A263" s="389"/>
      <c r="E263" s="764"/>
    </row>
    <row r="264" spans="1:5" ht="12.75">
      <c r="A264" s="770"/>
      <c r="E264" s="764"/>
    </row>
    <row r="265" spans="1:5" ht="15">
      <c r="A265" s="389"/>
      <c r="E265" s="764"/>
    </row>
    <row r="266" spans="1:5" ht="15">
      <c r="A266" s="389"/>
      <c r="E266" s="764"/>
    </row>
    <row r="267" spans="1:5" ht="15">
      <c r="A267" s="389"/>
      <c r="E267" s="764"/>
    </row>
    <row r="268" spans="1:5" ht="15">
      <c r="A268" s="389"/>
      <c r="E268" s="764"/>
    </row>
    <row r="269" spans="1:5" ht="15">
      <c r="A269" s="389"/>
      <c r="E269" s="764"/>
    </row>
    <row r="270" spans="1:5" ht="15">
      <c r="A270" s="389"/>
      <c r="E270" s="764"/>
    </row>
    <row r="271" spans="1:5" ht="12.75">
      <c r="A271" s="770"/>
      <c r="E271" s="764"/>
    </row>
    <row r="272" spans="1:5" ht="15">
      <c r="A272" s="389"/>
      <c r="E272" s="764"/>
    </row>
    <row r="273" spans="1:5" ht="15">
      <c r="A273" s="389"/>
      <c r="E273" s="764"/>
    </row>
    <row r="274" spans="1:5" ht="15">
      <c r="A274" s="389"/>
      <c r="E274" s="764"/>
    </row>
    <row r="275" spans="1:5" ht="15">
      <c r="A275" s="389"/>
      <c r="E275" s="764"/>
    </row>
    <row r="276" spans="1:5" ht="15">
      <c r="A276" s="389"/>
      <c r="E276" s="764"/>
    </row>
    <row r="277" spans="1:5" ht="15">
      <c r="A277" s="389"/>
      <c r="E277" s="764"/>
    </row>
    <row r="278" spans="1:5" ht="15">
      <c r="A278" s="389"/>
      <c r="E278" s="764"/>
    </row>
    <row r="279" spans="1:5" ht="15">
      <c r="A279" s="389"/>
      <c r="E279" s="764"/>
    </row>
    <row r="280" spans="1:5" ht="15">
      <c r="A280" s="389"/>
      <c r="E280" s="764"/>
    </row>
    <row r="281" spans="1:5" ht="15">
      <c r="A281" s="389"/>
      <c r="E281" s="764"/>
    </row>
    <row r="282" spans="1:5" ht="15">
      <c r="A282" s="389"/>
      <c r="E282" s="764"/>
    </row>
    <row r="283" spans="1:5" ht="15">
      <c r="A283" s="389"/>
      <c r="E283" s="764"/>
    </row>
    <row r="284" spans="1:5" ht="15">
      <c r="A284" s="389"/>
      <c r="E284" s="764"/>
    </row>
    <row r="285" spans="1:5" ht="15">
      <c r="A285" s="389"/>
      <c r="E285" s="764"/>
    </row>
    <row r="286" spans="1:5" ht="15">
      <c r="A286" s="389"/>
      <c r="E286" s="764"/>
    </row>
    <row r="287" spans="1:5" ht="15">
      <c r="A287" s="389"/>
      <c r="E287" s="764"/>
    </row>
    <row r="288" spans="1:5" ht="15">
      <c r="A288" s="389"/>
      <c r="E288" s="764"/>
    </row>
    <row r="289" spans="1:5" ht="15">
      <c r="A289" s="389"/>
      <c r="E289" s="764"/>
    </row>
    <row r="290" spans="1:5" ht="15">
      <c r="A290" s="389"/>
      <c r="E290" s="764"/>
    </row>
    <row r="291" spans="1:5" ht="15">
      <c r="A291" s="389"/>
      <c r="E291" s="764"/>
    </row>
    <row r="292" spans="1:5" ht="15">
      <c r="A292" s="389"/>
      <c r="E292" s="764"/>
    </row>
    <row r="293" spans="1:5" ht="15">
      <c r="A293" s="389"/>
      <c r="E293" s="764"/>
    </row>
    <row r="294" spans="1:5" ht="15">
      <c r="A294" s="389"/>
      <c r="E294" s="764"/>
    </row>
    <row r="295" spans="1:5" ht="15">
      <c r="A295" s="389"/>
      <c r="E295" s="764"/>
    </row>
    <row r="296" spans="1:5" ht="15">
      <c r="A296" s="389"/>
      <c r="E296" s="764"/>
    </row>
    <row r="297" spans="1:5" ht="15">
      <c r="A297" s="389"/>
      <c r="E297" s="764"/>
    </row>
    <row r="298" spans="1:5" ht="15">
      <c r="A298" s="389"/>
      <c r="E298" s="764"/>
    </row>
    <row r="299" spans="1:5" ht="15">
      <c r="A299" s="389"/>
      <c r="E299" s="764"/>
    </row>
    <row r="300" spans="1:5" ht="15">
      <c r="A300" s="779"/>
      <c r="E300" s="764"/>
    </row>
    <row r="301" spans="1:5" ht="15">
      <c r="A301" s="779"/>
      <c r="E301" s="764"/>
    </row>
    <row r="302" spans="1:5" ht="15">
      <c r="A302" s="746"/>
      <c r="E302" s="764"/>
    </row>
    <row r="303" spans="1:5" ht="15">
      <c r="A303" s="779"/>
      <c r="E303" s="764"/>
    </row>
    <row r="304" spans="1:5" ht="15">
      <c r="A304" s="779"/>
      <c r="E304" s="764"/>
    </row>
    <row r="305" spans="1:5" ht="15">
      <c r="A305" s="389"/>
      <c r="E305" s="764"/>
    </row>
    <row r="306" spans="1:5" ht="15">
      <c r="A306" s="389"/>
      <c r="E306" s="764"/>
    </row>
    <row r="307" spans="1:5" ht="15">
      <c r="A307" s="389"/>
      <c r="E307" s="764"/>
    </row>
    <row r="308" spans="1:5" ht="15">
      <c r="A308" s="389"/>
      <c r="E308" s="764"/>
    </row>
    <row r="309" spans="1:5" ht="15">
      <c r="A309" s="389"/>
      <c r="E309" s="764"/>
    </row>
    <row r="310" spans="1:5" ht="15">
      <c r="A310" s="389"/>
      <c r="E310" s="764"/>
    </row>
    <row r="311" spans="1:5" ht="15">
      <c r="A311" s="389"/>
      <c r="E311" s="764"/>
    </row>
    <row r="312" spans="1:5" ht="15">
      <c r="A312" s="389"/>
      <c r="E312" s="764"/>
    </row>
    <row r="313" spans="1:5" ht="15">
      <c r="A313" s="389"/>
      <c r="E313" s="764"/>
    </row>
    <row r="314" spans="1:5" ht="15">
      <c r="A314" s="389"/>
      <c r="E314" s="764"/>
    </row>
    <row r="315" spans="1:5" ht="15">
      <c r="A315" s="389"/>
      <c r="E315" s="764"/>
    </row>
    <row r="316" spans="1:5" ht="15">
      <c r="A316" s="389"/>
      <c r="E316" s="764"/>
    </row>
    <row r="317" spans="1:5" ht="15">
      <c r="A317" s="389"/>
      <c r="E317" s="764"/>
    </row>
    <row r="318" spans="1:5" ht="15">
      <c r="A318" s="389"/>
      <c r="E318" s="764"/>
    </row>
    <row r="319" spans="1:5" ht="15">
      <c r="A319" s="389"/>
      <c r="E319" s="764"/>
    </row>
    <row r="320" spans="1:5" ht="15">
      <c r="A320" s="389"/>
      <c r="E320" s="764"/>
    </row>
    <row r="321" spans="1:5" ht="15">
      <c r="A321" s="389"/>
      <c r="E321" s="764"/>
    </row>
    <row r="322" spans="1:5" ht="15">
      <c r="A322" s="389"/>
      <c r="E322" s="764"/>
    </row>
    <row r="323" spans="1:5" ht="15">
      <c r="A323" s="389"/>
      <c r="E323" s="764"/>
    </row>
    <row r="324" spans="1:5" ht="15">
      <c r="A324" s="389"/>
      <c r="E324" s="764"/>
    </row>
    <row r="325" spans="1:5" ht="15">
      <c r="A325" s="389"/>
      <c r="E325" s="764"/>
    </row>
    <row r="326" spans="1:5" ht="15">
      <c r="A326" s="389"/>
      <c r="E326" s="764"/>
    </row>
    <row r="327" spans="1:5" ht="15">
      <c r="A327" s="389"/>
      <c r="E327" s="764"/>
    </row>
    <row r="328" spans="1:5" ht="15">
      <c r="A328" s="388"/>
      <c r="E328" s="764"/>
    </row>
    <row r="329" spans="1:5" ht="15">
      <c r="A329" s="388"/>
      <c r="E329" s="764"/>
    </row>
    <row r="330" spans="1:5" ht="15">
      <c r="A330" s="388"/>
      <c r="E330" s="764"/>
    </row>
    <row r="331" spans="1:5" ht="15">
      <c r="A331" s="389"/>
      <c r="E331" s="764"/>
    </row>
    <row r="332" spans="1:5" ht="15">
      <c r="A332" s="388"/>
      <c r="E332" s="764"/>
    </row>
    <row r="333" spans="1:5" ht="15">
      <c r="A333" s="389"/>
      <c r="E333" s="764"/>
    </row>
    <row r="334" spans="1:5" ht="15">
      <c r="A334" s="389"/>
      <c r="E334" s="764"/>
    </row>
    <row r="335" spans="1:5" ht="15">
      <c r="A335" s="389"/>
      <c r="E335" s="764"/>
    </row>
    <row r="336" spans="1:5" ht="15">
      <c r="A336" s="389"/>
      <c r="E336" s="764"/>
    </row>
    <row r="337" spans="1:5" ht="15">
      <c r="A337" s="389"/>
      <c r="E337" s="764"/>
    </row>
    <row r="338" spans="1:5" ht="15">
      <c r="A338" s="389"/>
      <c r="E338" s="764"/>
    </row>
    <row r="339" spans="1:5" ht="15">
      <c r="A339" s="389"/>
      <c r="E339" s="764"/>
    </row>
    <row r="340" spans="1:5" ht="15">
      <c r="A340" s="389"/>
      <c r="E340" s="764"/>
    </row>
    <row r="341" spans="1:5" ht="15">
      <c r="A341" s="389"/>
      <c r="E341" s="764"/>
    </row>
    <row r="342" spans="1:5" ht="15">
      <c r="A342" s="389"/>
      <c r="E342" s="764"/>
    </row>
    <row r="343" spans="1:5" ht="15">
      <c r="A343" s="389"/>
      <c r="E343" s="764"/>
    </row>
    <row r="344" spans="1:5" ht="15">
      <c r="A344" s="389"/>
      <c r="E344" s="764"/>
    </row>
    <row r="345" spans="1:5" ht="15">
      <c r="A345" s="389"/>
      <c r="E345" s="764"/>
    </row>
    <row r="346" spans="1:5" ht="15">
      <c r="A346" s="389"/>
      <c r="E346" s="764"/>
    </row>
    <row r="347" spans="1:5" ht="15">
      <c r="A347" s="389"/>
      <c r="E347" s="764"/>
    </row>
    <row r="348" spans="1:5" ht="15">
      <c r="A348" s="389"/>
      <c r="E348" s="764"/>
    </row>
    <row r="349" spans="1:5" ht="15">
      <c r="A349" s="389"/>
      <c r="E349" s="764"/>
    </row>
    <row r="350" spans="1:5" ht="15">
      <c r="A350" s="389"/>
      <c r="E350" s="764"/>
    </row>
    <row r="351" spans="1:5" ht="15">
      <c r="A351" s="389"/>
      <c r="E351" s="764"/>
    </row>
    <row r="352" spans="1:5" ht="15">
      <c r="A352" s="389"/>
      <c r="E352" s="764"/>
    </row>
    <row r="353" spans="1:5" ht="15">
      <c r="A353" s="389"/>
      <c r="E353" s="764"/>
    </row>
    <row r="354" spans="1:5" ht="15">
      <c r="A354" s="389"/>
      <c r="E354" s="764"/>
    </row>
    <row r="355" spans="1:5" ht="15">
      <c r="A355" s="389"/>
      <c r="E355" s="764"/>
    </row>
    <row r="356" spans="1:5" ht="15">
      <c r="A356" s="389"/>
      <c r="E356" s="764"/>
    </row>
    <row r="357" spans="1:5" ht="15">
      <c r="A357" s="389"/>
      <c r="E357" s="764"/>
    </row>
    <row r="358" spans="1:5" ht="15">
      <c r="A358" s="389"/>
      <c r="E358" s="764"/>
    </row>
    <row r="359" spans="1:5" ht="15">
      <c r="A359" s="389"/>
      <c r="E359" s="764"/>
    </row>
    <row r="360" spans="1:5" ht="15">
      <c r="A360" s="389"/>
      <c r="E360" s="764"/>
    </row>
    <row r="361" spans="1:5" ht="15">
      <c r="A361" s="389"/>
      <c r="E361" s="764"/>
    </row>
    <row r="362" spans="1:5" ht="15">
      <c r="A362" s="780"/>
      <c r="E362" s="764"/>
    </row>
    <row r="363" spans="1:5" ht="15">
      <c r="A363" s="780"/>
      <c r="E363" s="764"/>
    </row>
    <row r="364" spans="1:5" ht="15">
      <c r="A364" s="389"/>
      <c r="E364" s="764"/>
    </row>
    <row r="365" ht="15">
      <c r="E365" s="781"/>
    </row>
    <row r="366" ht="15">
      <c r="E366" s="781"/>
    </row>
    <row r="367" ht="15">
      <c r="E367" s="781"/>
    </row>
    <row r="368" ht="15">
      <c r="E368" s="781"/>
    </row>
    <row r="369" ht="15">
      <c r="E369" s="781"/>
    </row>
    <row r="370" ht="15">
      <c r="E370" s="781"/>
    </row>
    <row r="371" ht="15">
      <c r="E371" s="781"/>
    </row>
    <row r="372" ht="15">
      <c r="E372" s="781"/>
    </row>
    <row r="373" ht="15">
      <c r="E373" s="781"/>
    </row>
    <row r="374" ht="15">
      <c r="E374" s="781"/>
    </row>
    <row r="375" ht="15">
      <c r="E375" s="781"/>
    </row>
    <row r="376" ht="15">
      <c r="E376" s="781"/>
    </row>
    <row r="377" ht="15">
      <c r="E377" s="781"/>
    </row>
    <row r="378" ht="15">
      <c r="E378" s="781"/>
    </row>
    <row r="379" ht="15">
      <c r="E379" s="781"/>
    </row>
    <row r="380" ht="15">
      <c r="E380" s="781"/>
    </row>
    <row r="381" ht="15">
      <c r="E381" s="781"/>
    </row>
    <row r="382" ht="15">
      <c r="E382" s="781"/>
    </row>
    <row r="383" ht="15">
      <c r="E383" s="781"/>
    </row>
    <row r="384" ht="15">
      <c r="E384" s="781"/>
    </row>
    <row r="385" ht="15">
      <c r="E385" s="781"/>
    </row>
    <row r="386" ht="15">
      <c r="E386" s="781"/>
    </row>
    <row r="387" ht="15">
      <c r="E387" s="781"/>
    </row>
    <row r="388" ht="15">
      <c r="E388" s="781"/>
    </row>
    <row r="389" ht="15">
      <c r="E389" s="781"/>
    </row>
    <row r="390" ht="15">
      <c r="E390" s="781"/>
    </row>
    <row r="391" ht="15">
      <c r="E391" s="781"/>
    </row>
    <row r="392" ht="15">
      <c r="E392" s="781"/>
    </row>
    <row r="393" ht="15">
      <c r="E393" s="781"/>
    </row>
    <row r="394" ht="15">
      <c r="E394" s="781"/>
    </row>
    <row r="395" ht="15">
      <c r="E395" s="781"/>
    </row>
    <row r="396" ht="15">
      <c r="E396" s="781"/>
    </row>
    <row r="397" ht="15">
      <c r="E397" s="781"/>
    </row>
    <row r="398" ht="15">
      <c r="E398" s="781"/>
    </row>
    <row r="399" ht="15">
      <c r="E399" s="781"/>
    </row>
    <row r="400" ht="15">
      <c r="E400" s="781"/>
    </row>
    <row r="401" ht="15">
      <c r="E401" s="781"/>
    </row>
    <row r="402" ht="15">
      <c r="E402" s="781"/>
    </row>
    <row r="403" ht="15">
      <c r="E403" s="781"/>
    </row>
    <row r="404" ht="15">
      <c r="E404" s="781"/>
    </row>
    <row r="405" ht="15">
      <c r="E405" s="781"/>
    </row>
    <row r="406" ht="15">
      <c r="E406" s="781"/>
    </row>
    <row r="407" ht="15">
      <c r="E407" s="781"/>
    </row>
    <row r="408" ht="15">
      <c r="E408" s="781"/>
    </row>
    <row r="409" ht="15">
      <c r="E409" s="781"/>
    </row>
    <row r="410" ht="15">
      <c r="E410" s="781"/>
    </row>
    <row r="411" ht="15">
      <c r="E411" s="781"/>
    </row>
    <row r="412" ht="15">
      <c r="E412" s="781"/>
    </row>
    <row r="413" ht="15">
      <c r="E413" s="781"/>
    </row>
    <row r="414" ht="15">
      <c r="E414" s="781"/>
    </row>
    <row r="415" ht="15">
      <c r="E415" s="781"/>
    </row>
    <row r="416" ht="15">
      <c r="E416" s="781"/>
    </row>
    <row r="417" ht="15">
      <c r="E417" s="781"/>
    </row>
    <row r="418" ht="15">
      <c r="E418" s="781"/>
    </row>
    <row r="419" ht="15">
      <c r="E419" s="781"/>
    </row>
    <row r="420" ht="15">
      <c r="E420" s="781"/>
    </row>
    <row r="421" ht="15">
      <c r="E421" s="781"/>
    </row>
    <row r="422" ht="15">
      <c r="E422" s="781"/>
    </row>
    <row r="423" ht="15">
      <c r="E423" s="781"/>
    </row>
    <row r="424" ht="15">
      <c r="E424" s="781"/>
    </row>
    <row r="425" ht="15">
      <c r="E425" s="781"/>
    </row>
    <row r="426" ht="15">
      <c r="E426" s="781"/>
    </row>
    <row r="427" ht="15">
      <c r="E427" s="781"/>
    </row>
    <row r="428" ht="15">
      <c r="E428" s="781"/>
    </row>
    <row r="429" ht="15">
      <c r="E429" s="781"/>
    </row>
    <row r="430" ht="15">
      <c r="E430" s="781"/>
    </row>
    <row r="431" ht="15">
      <c r="E431" s="781"/>
    </row>
    <row r="432" ht="15">
      <c r="E432" s="781"/>
    </row>
    <row r="433" ht="15">
      <c r="E433" s="781"/>
    </row>
    <row r="434" ht="15">
      <c r="E434" s="781"/>
    </row>
    <row r="435" ht="15">
      <c r="E435" s="781"/>
    </row>
    <row r="436" ht="15">
      <c r="E436" s="781"/>
    </row>
    <row r="437" ht="15">
      <c r="E437" s="781"/>
    </row>
    <row r="438" ht="15">
      <c r="E438" s="781"/>
    </row>
    <row r="439" ht="15">
      <c r="E439" s="781"/>
    </row>
    <row r="440" ht="15">
      <c r="E440" s="781"/>
    </row>
    <row r="441" ht="15">
      <c r="E441" s="781"/>
    </row>
    <row r="442" ht="15">
      <c r="E442" s="781"/>
    </row>
    <row r="443" ht="15">
      <c r="E443" s="781"/>
    </row>
    <row r="444" ht="15">
      <c r="E444" s="781"/>
    </row>
    <row r="445" ht="15">
      <c r="E445" s="781"/>
    </row>
    <row r="446" ht="15">
      <c r="E446" s="781"/>
    </row>
    <row r="447" ht="15">
      <c r="E447" s="781"/>
    </row>
    <row r="448" ht="15">
      <c r="E448" s="781"/>
    </row>
    <row r="449" ht="15">
      <c r="E449" s="781"/>
    </row>
    <row r="450" ht="15">
      <c r="E450" s="781"/>
    </row>
    <row r="451" ht="15">
      <c r="E451" s="781"/>
    </row>
    <row r="452" ht="15">
      <c r="E452" s="781"/>
    </row>
    <row r="453" ht="15">
      <c r="E453" s="781"/>
    </row>
    <row r="454" ht="15">
      <c r="E454" s="781"/>
    </row>
    <row r="455" ht="15">
      <c r="E455" s="781"/>
    </row>
    <row r="456" ht="15">
      <c r="E456" s="781"/>
    </row>
    <row r="457" ht="15">
      <c r="E457" s="781"/>
    </row>
    <row r="458" ht="15">
      <c r="E458" s="781"/>
    </row>
    <row r="459" ht="15">
      <c r="E459" s="781"/>
    </row>
    <row r="460" ht="15">
      <c r="E460" s="781"/>
    </row>
    <row r="461" ht="15">
      <c r="E461" s="781"/>
    </row>
    <row r="462" ht="15">
      <c r="E462" s="781"/>
    </row>
    <row r="463" ht="15">
      <c r="E463" s="781"/>
    </row>
    <row r="464" ht="15">
      <c r="E464" s="781"/>
    </row>
    <row r="465" ht="15">
      <c r="E465" s="781"/>
    </row>
    <row r="466" ht="15">
      <c r="E466" s="781"/>
    </row>
    <row r="467" ht="15">
      <c r="E467" s="781"/>
    </row>
  </sheetData>
  <sheetProtection/>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D52"/>
  <sheetViews>
    <sheetView zoomScalePageLayoutView="0" workbookViewId="0" topLeftCell="A1">
      <selection activeCell="F35" sqref="F35"/>
    </sheetView>
  </sheetViews>
  <sheetFormatPr defaultColWidth="9.140625" defaultRowHeight="12.75"/>
  <cols>
    <col min="1" max="1" width="82.7109375" style="0" customWidth="1"/>
    <col min="2" max="2" width="13.57421875" style="0" customWidth="1"/>
  </cols>
  <sheetData>
    <row r="1" spans="1:2" ht="51">
      <c r="A1" s="7" t="s">
        <v>315</v>
      </c>
      <c r="B1" t="s">
        <v>684</v>
      </c>
    </row>
    <row r="2" spans="1:2" ht="12.75">
      <c r="A2" s="15" t="s">
        <v>316</v>
      </c>
      <c r="B2" t="s">
        <v>684</v>
      </c>
    </row>
    <row r="3" ht="12.75">
      <c r="A3" t="s">
        <v>317</v>
      </c>
    </row>
    <row r="5" ht="25.5">
      <c r="A5" s="670" t="s">
        <v>311</v>
      </c>
    </row>
    <row r="6" ht="12.75">
      <c r="A6" s="84" t="s">
        <v>297</v>
      </c>
    </row>
    <row r="7" ht="12.75">
      <c r="A7" s="84" t="s">
        <v>298</v>
      </c>
    </row>
    <row r="8" ht="12.75">
      <c r="A8" s="84" t="s">
        <v>299</v>
      </c>
    </row>
    <row r="9" ht="12.75">
      <c r="A9" s="84" t="s">
        <v>300</v>
      </c>
    </row>
    <row r="10" ht="25.5">
      <c r="A10" s="84" t="s">
        <v>301</v>
      </c>
    </row>
    <row r="11" ht="12.75">
      <c r="A11" s="84" t="s">
        <v>302</v>
      </c>
    </row>
    <row r="12" ht="25.5">
      <c r="A12" s="84" t="s">
        <v>296</v>
      </c>
    </row>
    <row r="13" ht="12.75">
      <c r="A13" s="84"/>
    </row>
    <row r="14" spans="1:2" ht="38.25">
      <c r="A14" s="84" t="s">
        <v>312</v>
      </c>
      <c r="B14" t="s">
        <v>303</v>
      </c>
    </row>
    <row r="15" spans="1:2" ht="12.75">
      <c r="A15" s="782" t="s">
        <v>314</v>
      </c>
      <c r="B15">
        <v>100</v>
      </c>
    </row>
    <row r="16" spans="1:2" ht="12.75">
      <c r="A16" s="782" t="s">
        <v>314</v>
      </c>
      <c r="B16">
        <v>289</v>
      </c>
    </row>
    <row r="17" spans="1:2" ht="12.75">
      <c r="A17" s="782" t="s">
        <v>314</v>
      </c>
      <c r="B17">
        <v>81</v>
      </c>
    </row>
    <row r="18" spans="1:2" ht="12.75">
      <c r="A18" s="782" t="s">
        <v>314</v>
      </c>
      <c r="B18">
        <v>17</v>
      </c>
    </row>
    <row r="19" ht="12.75">
      <c r="A19" s="84"/>
    </row>
    <row r="20" ht="12.75">
      <c r="B20" t="s">
        <v>313</v>
      </c>
    </row>
    <row r="21" spans="2:4" ht="12.75">
      <c r="B21" t="s">
        <v>303</v>
      </c>
      <c r="C21" t="s">
        <v>304</v>
      </c>
      <c r="D21" t="s">
        <v>305</v>
      </c>
    </row>
    <row r="22" spans="2:4" ht="12.75">
      <c r="B22">
        <v>115</v>
      </c>
      <c r="C22">
        <v>0.025</v>
      </c>
      <c r="D22">
        <f aca="true" t="shared" si="0" ref="D22:D27">LN(B22)</f>
        <v>4.74493212836325</v>
      </c>
    </row>
    <row r="23" spans="2:4" ht="12.75">
      <c r="B23">
        <v>40</v>
      </c>
      <c r="C23">
        <v>0.125</v>
      </c>
      <c r="D23">
        <f t="shared" si="0"/>
        <v>3.6888794541139363</v>
      </c>
    </row>
    <row r="24" spans="2:4" ht="12.75">
      <c r="B24">
        <v>25</v>
      </c>
      <c r="C24">
        <v>0.35</v>
      </c>
      <c r="D24">
        <f t="shared" si="0"/>
        <v>3.2188758248682006</v>
      </c>
    </row>
    <row r="25" spans="2:4" ht="12.75">
      <c r="B25">
        <v>15</v>
      </c>
      <c r="C25">
        <v>0.48</v>
      </c>
      <c r="D25">
        <f t="shared" si="0"/>
        <v>2.70805020110221</v>
      </c>
    </row>
    <row r="26" spans="2:4" ht="12.75">
      <c r="B26">
        <v>10</v>
      </c>
      <c r="C26">
        <v>0.57</v>
      </c>
      <c r="D26">
        <f t="shared" si="0"/>
        <v>2.302585092994046</v>
      </c>
    </row>
    <row r="27" spans="2:4" ht="12.75">
      <c r="B27">
        <v>5</v>
      </c>
      <c r="C27">
        <v>0.65</v>
      </c>
      <c r="D27">
        <f t="shared" si="0"/>
        <v>1.6094379124341003</v>
      </c>
    </row>
    <row r="29" spans="3:4" ht="12.75">
      <c r="C29" t="s">
        <v>306</v>
      </c>
      <c r="D29">
        <f>INTERCEPT(D22:D27,C22:C27)</f>
        <v>4.625323738812405</v>
      </c>
    </row>
    <row r="30" spans="3:4" ht="12.75">
      <c r="C30" t="s">
        <v>295</v>
      </c>
      <c r="D30">
        <f>SLOPE(D22:D27,C22:C27)</f>
        <v>-4.308719008635768</v>
      </c>
    </row>
    <row r="31" ht="12.75">
      <c r="C31" t="s">
        <v>263</v>
      </c>
    </row>
    <row r="32" spans="3:4" ht="12.75">
      <c r="C32" t="s">
        <v>684</v>
      </c>
      <c r="D32">
        <f>EXP(4.625-4.309*45%)</f>
        <v>14.672133288182419</v>
      </c>
    </row>
    <row r="33" ht="12.75">
      <c r="D33" t="s">
        <v>684</v>
      </c>
    </row>
    <row r="34" ht="12.75">
      <c r="D34" t="s">
        <v>684</v>
      </c>
    </row>
    <row r="35" ht="12.75">
      <c r="D35" t="s">
        <v>684</v>
      </c>
    </row>
    <row r="40" ht="12.75">
      <c r="A40" s="7" t="s">
        <v>308</v>
      </c>
    </row>
    <row r="41" ht="25.5">
      <c r="A41" s="19" t="s">
        <v>307</v>
      </c>
    </row>
    <row r="42" ht="12.75">
      <c r="A42" s="15"/>
    </row>
    <row r="43" ht="38.25">
      <c r="A43" s="7" t="s">
        <v>309</v>
      </c>
    </row>
    <row r="44" ht="12.75">
      <c r="A44" s="15"/>
    </row>
    <row r="45" ht="38.25">
      <c r="A45" s="7" t="s">
        <v>310</v>
      </c>
    </row>
    <row r="46" ht="12.75">
      <c r="A46" s="15"/>
    </row>
    <row r="47" spans="1:2" ht="51">
      <c r="A47" s="7" t="s">
        <v>315</v>
      </c>
      <c r="B47">
        <f>16/0.85</f>
        <v>18.823529411764707</v>
      </c>
    </row>
    <row r="48" spans="1:2" ht="12.75">
      <c r="A48" s="15" t="s">
        <v>316</v>
      </c>
      <c r="B48">
        <f>18.8*0.05-18</f>
        <v>-17.06</v>
      </c>
    </row>
    <row r="49" ht="12.75">
      <c r="A49" t="s">
        <v>317</v>
      </c>
    </row>
    <row r="52" spans="2:3" ht="12.75">
      <c r="B52">
        <v>800</v>
      </c>
      <c r="C52">
        <f>B52/100*(17.6-18.8*0.4)</f>
        <v>80.64000000000001</v>
      </c>
    </row>
  </sheetData>
  <sheetProtection/>
  <printOptions/>
  <pageMargins left="0.75" right="0.75" top="1" bottom="1" header="0.5" footer="0.5"/>
  <pageSetup orientation="portrait" paperSize="9"/>
  <drawing r:id="rId1"/>
</worksheet>
</file>

<file path=xl/worksheets/sheet18.xml><?xml version="1.0" encoding="utf-8"?>
<worksheet xmlns="http://schemas.openxmlformats.org/spreadsheetml/2006/main" xmlns:r="http://schemas.openxmlformats.org/officeDocument/2006/relationships">
  <dimension ref="A1:I41"/>
  <sheetViews>
    <sheetView zoomScalePageLayoutView="0" workbookViewId="0" topLeftCell="A1">
      <selection activeCell="A8" sqref="A8"/>
    </sheetView>
  </sheetViews>
  <sheetFormatPr defaultColWidth="9.140625" defaultRowHeight="12.75"/>
  <cols>
    <col min="1" max="1" width="64.8515625" style="15" customWidth="1"/>
    <col min="2" max="2" width="73.140625" style="0" customWidth="1"/>
  </cols>
  <sheetData>
    <row r="1" spans="1:2" ht="12.75">
      <c r="A1" s="15" t="s">
        <v>1111</v>
      </c>
      <c r="B1" s="15" t="s">
        <v>1112</v>
      </c>
    </row>
    <row r="2" spans="1:2" ht="47.25">
      <c r="A2" s="86" t="s">
        <v>1113</v>
      </c>
      <c r="B2" s="87" t="s">
        <v>10</v>
      </c>
    </row>
    <row r="3" spans="1:2" ht="173.25">
      <c r="A3" s="86" t="s">
        <v>0</v>
      </c>
      <c r="B3" s="87" t="s">
        <v>75</v>
      </c>
    </row>
    <row r="4" spans="1:2" ht="78.75">
      <c r="A4" s="86" t="s">
        <v>2</v>
      </c>
      <c r="B4" s="86" t="s">
        <v>76</v>
      </c>
    </row>
    <row r="5" spans="1:2" ht="94.5">
      <c r="A5" s="86" t="s">
        <v>1</v>
      </c>
      <c r="B5" s="87" t="s">
        <v>77</v>
      </c>
    </row>
    <row r="6" spans="1:2" ht="94.5">
      <c r="A6" s="86" t="s">
        <v>194</v>
      </c>
      <c r="B6" s="87" t="s">
        <v>78</v>
      </c>
    </row>
    <row r="7" spans="1:2" ht="78.75">
      <c r="A7" s="86" t="s">
        <v>195</v>
      </c>
      <c r="B7" s="87" t="s">
        <v>193</v>
      </c>
    </row>
    <row r="8" spans="1:2" ht="94.5">
      <c r="A8" s="86" t="s">
        <v>3</v>
      </c>
      <c r="B8" s="86" t="s">
        <v>196</v>
      </c>
    </row>
    <row r="9" spans="1:2" ht="78.75">
      <c r="A9" s="86" t="s">
        <v>4</v>
      </c>
      <c r="B9" s="86" t="s">
        <v>197</v>
      </c>
    </row>
    <row r="10" spans="1:2" ht="78.75">
      <c r="A10" s="86" t="s">
        <v>198</v>
      </c>
      <c r="B10" s="87" t="s">
        <v>200</v>
      </c>
    </row>
    <row r="11" spans="1:2" ht="141.75">
      <c r="A11" s="88" t="s">
        <v>199</v>
      </c>
      <c r="B11" s="87" t="s">
        <v>201</v>
      </c>
    </row>
    <row r="12" spans="1:3" ht="63">
      <c r="A12" s="86" t="s">
        <v>5</v>
      </c>
      <c r="B12" s="89" t="s">
        <v>324</v>
      </c>
      <c r="C12">
        <f>8.7/41.5</f>
        <v>0.20963855421686745</v>
      </c>
    </row>
    <row r="13" spans="1:2" ht="110.25">
      <c r="A13" s="86" t="s">
        <v>6</v>
      </c>
      <c r="B13" s="87" t="s">
        <v>8</v>
      </c>
    </row>
    <row r="14" spans="1:2" ht="78.75">
      <c r="A14" s="86" t="s">
        <v>7</v>
      </c>
      <c r="B14" s="87" t="s">
        <v>9</v>
      </c>
    </row>
    <row r="15" spans="1:2" ht="110.25">
      <c r="A15" s="86" t="s">
        <v>559</v>
      </c>
      <c r="B15" s="86" t="s">
        <v>563</v>
      </c>
    </row>
    <row r="16" spans="1:2" ht="63">
      <c r="A16" s="86" t="s">
        <v>561</v>
      </c>
      <c r="B16" s="86" t="s">
        <v>562</v>
      </c>
    </row>
    <row r="17" spans="1:2" ht="63">
      <c r="A17" s="86" t="s">
        <v>560</v>
      </c>
      <c r="B17" s="86" t="s">
        <v>562</v>
      </c>
    </row>
    <row r="19" ht="13.5" thickBot="1"/>
    <row r="20" spans="2:9" ht="28.5" customHeight="1" thickBot="1">
      <c r="B20" s="86" t="s">
        <v>574</v>
      </c>
      <c r="C20" s="827" t="s">
        <v>724</v>
      </c>
      <c r="D20" s="829" t="s">
        <v>564</v>
      </c>
      <c r="E20" s="831" t="s">
        <v>565</v>
      </c>
      <c r="F20" s="832"/>
      <c r="G20" s="833"/>
      <c r="H20" s="818" t="s">
        <v>566</v>
      </c>
      <c r="I20" s="819"/>
    </row>
    <row r="21" spans="2:9" ht="72.75" thickBot="1">
      <c r="B21" s="86"/>
      <c r="C21" s="828"/>
      <c r="D21" s="830"/>
      <c r="E21" s="95" t="s">
        <v>567</v>
      </c>
      <c r="F21" s="95" t="s">
        <v>842</v>
      </c>
      <c r="G21" s="95" t="s">
        <v>568</v>
      </c>
      <c r="H21" s="95" t="s">
        <v>569</v>
      </c>
      <c r="I21" s="95" t="s">
        <v>570</v>
      </c>
    </row>
    <row r="22" spans="2:9" ht="79.5" thickBot="1">
      <c r="B22" s="86" t="s">
        <v>600</v>
      </c>
      <c r="C22" s="96" t="s">
        <v>571</v>
      </c>
      <c r="D22" s="97">
        <v>0.33</v>
      </c>
      <c r="E22" s="98">
        <v>60</v>
      </c>
      <c r="F22" s="98">
        <v>90</v>
      </c>
      <c r="G22" s="98">
        <v>90</v>
      </c>
      <c r="H22" s="98">
        <v>23</v>
      </c>
      <c r="I22" s="98">
        <v>23</v>
      </c>
    </row>
    <row r="23" spans="3:9" ht="57.75" thickBot="1">
      <c r="C23" s="96" t="s">
        <v>572</v>
      </c>
      <c r="D23" s="97">
        <v>0.56</v>
      </c>
      <c r="E23" s="98">
        <v>50</v>
      </c>
      <c r="F23" s="98">
        <v>80</v>
      </c>
      <c r="G23" s="98">
        <v>85</v>
      </c>
      <c r="H23" s="98">
        <v>28</v>
      </c>
      <c r="I23" s="98">
        <v>31</v>
      </c>
    </row>
    <row r="24" spans="3:9" ht="57.75" thickBot="1">
      <c r="C24" s="96" t="s">
        <v>573</v>
      </c>
      <c r="D24" s="97">
        <v>0.11</v>
      </c>
      <c r="E24" s="98">
        <v>30</v>
      </c>
      <c r="F24" s="98">
        <v>75</v>
      </c>
      <c r="G24" s="98">
        <v>80</v>
      </c>
      <c r="H24" s="98">
        <v>35</v>
      </c>
      <c r="I24" s="98">
        <v>35</v>
      </c>
    </row>
    <row r="26" ht="13.5" thickBot="1"/>
    <row r="27" spans="3:7" ht="13.5" thickBot="1">
      <c r="C27" s="820"/>
      <c r="D27" s="822" t="s">
        <v>601</v>
      </c>
      <c r="E27" s="823"/>
      <c r="F27" s="823"/>
      <c r="G27" s="824"/>
    </row>
    <row r="28" spans="3:7" ht="77.25" thickBot="1">
      <c r="C28" s="821"/>
      <c r="D28" s="99" t="s">
        <v>602</v>
      </c>
      <c r="E28" s="99" t="s">
        <v>603</v>
      </c>
      <c r="F28" s="99" t="s">
        <v>604</v>
      </c>
      <c r="G28" s="99" t="s">
        <v>605</v>
      </c>
    </row>
    <row r="29" spans="2:7" ht="39.75" thickBot="1">
      <c r="B29" s="86" t="s">
        <v>653</v>
      </c>
      <c r="C29" s="100" t="s">
        <v>606</v>
      </c>
      <c r="D29" s="101" t="s">
        <v>607</v>
      </c>
      <c r="E29" s="101" t="s">
        <v>608</v>
      </c>
      <c r="F29" s="101"/>
      <c r="G29" s="825" t="s">
        <v>609</v>
      </c>
    </row>
    <row r="30" spans="2:7" ht="48" thickBot="1">
      <c r="B30" s="86" t="s">
        <v>654</v>
      </c>
      <c r="C30" s="100" t="s">
        <v>610</v>
      </c>
      <c r="D30" s="101"/>
      <c r="E30" s="101" t="s">
        <v>611</v>
      </c>
      <c r="F30" s="101" t="s">
        <v>612</v>
      </c>
      <c r="G30" s="826"/>
    </row>
    <row r="31" spans="2:7" ht="48" thickBot="1">
      <c r="B31" s="86" t="s">
        <v>674</v>
      </c>
      <c r="C31" s="100" t="s">
        <v>613</v>
      </c>
      <c r="D31" s="101" t="s">
        <v>614</v>
      </c>
      <c r="E31" s="101" t="s">
        <v>615</v>
      </c>
      <c r="F31" s="101" t="s">
        <v>616</v>
      </c>
      <c r="G31" s="101" t="s">
        <v>617</v>
      </c>
    </row>
    <row r="32" spans="2:7" ht="63.75" thickBot="1">
      <c r="B32" s="86" t="s">
        <v>675</v>
      </c>
      <c r="C32" s="100" t="s">
        <v>618</v>
      </c>
      <c r="D32" s="101" t="s">
        <v>619</v>
      </c>
      <c r="E32" s="101" t="s">
        <v>620</v>
      </c>
      <c r="F32" s="101" t="s">
        <v>621</v>
      </c>
      <c r="G32" s="101" t="s">
        <v>622</v>
      </c>
    </row>
    <row r="33" spans="3:7" ht="64.5" thickBot="1">
      <c r="C33" s="100" t="s">
        <v>623</v>
      </c>
      <c r="D33" s="101" t="s">
        <v>624</v>
      </c>
      <c r="E33" s="101"/>
      <c r="F33" s="101"/>
      <c r="G33" s="101" t="s">
        <v>625</v>
      </c>
    </row>
    <row r="34" spans="3:7" ht="51.75" thickBot="1">
      <c r="C34" s="102" t="s">
        <v>626</v>
      </c>
      <c r="D34" s="103" t="s">
        <v>627</v>
      </c>
      <c r="E34" s="103" t="s">
        <v>628</v>
      </c>
      <c r="F34" s="103" t="s">
        <v>629</v>
      </c>
      <c r="G34" s="103" t="s">
        <v>630</v>
      </c>
    </row>
    <row r="35" spans="3:7" ht="26.25" thickBot="1">
      <c r="C35" s="100" t="s">
        <v>631</v>
      </c>
      <c r="D35" s="101"/>
      <c r="E35" s="101"/>
      <c r="F35" s="101"/>
      <c r="G35" s="101" t="s">
        <v>632</v>
      </c>
    </row>
    <row r="36" spans="3:7" ht="39" thickBot="1">
      <c r="C36" s="100" t="s">
        <v>633</v>
      </c>
      <c r="D36" s="101"/>
      <c r="E36" s="101"/>
      <c r="F36" s="101"/>
      <c r="G36" s="101" t="s">
        <v>634</v>
      </c>
    </row>
    <row r="37" spans="3:7" ht="39" thickBot="1">
      <c r="C37" s="100" t="s">
        <v>635</v>
      </c>
      <c r="D37" s="101" t="s">
        <v>636</v>
      </c>
      <c r="E37" s="101" t="s">
        <v>637</v>
      </c>
      <c r="F37" s="101"/>
      <c r="G37" s="101" t="s">
        <v>638</v>
      </c>
    </row>
    <row r="38" spans="3:7" ht="39" thickBot="1">
      <c r="C38" s="100" t="s">
        <v>639</v>
      </c>
      <c r="D38" s="101"/>
      <c r="E38" s="101"/>
      <c r="F38" s="101"/>
      <c r="G38" s="101" t="s">
        <v>640</v>
      </c>
    </row>
    <row r="39" spans="3:7" ht="51.75" thickBot="1">
      <c r="C39" s="100" t="s">
        <v>641</v>
      </c>
      <c r="D39" s="101" t="s">
        <v>642</v>
      </c>
      <c r="E39" s="101" t="s">
        <v>643</v>
      </c>
      <c r="F39" s="101" t="s">
        <v>644</v>
      </c>
      <c r="G39" s="101" t="s">
        <v>645</v>
      </c>
    </row>
    <row r="40" spans="3:7" ht="39" thickBot="1">
      <c r="C40" s="100" t="s">
        <v>646</v>
      </c>
      <c r="D40" s="101"/>
      <c r="E40" s="101"/>
      <c r="F40" s="101"/>
      <c r="G40" s="101" t="s">
        <v>647</v>
      </c>
    </row>
    <row r="41" spans="3:7" ht="51.75" thickBot="1">
      <c r="C41" s="102" t="s">
        <v>648</v>
      </c>
      <c r="D41" s="103" t="s">
        <v>650</v>
      </c>
      <c r="E41" s="103" t="s">
        <v>651</v>
      </c>
      <c r="F41" s="103"/>
      <c r="G41" s="103" t="s">
        <v>652</v>
      </c>
    </row>
  </sheetData>
  <sheetProtection/>
  <mergeCells count="7">
    <mergeCell ref="H20:I20"/>
    <mergeCell ref="C27:C28"/>
    <mergeCell ref="D27:G27"/>
    <mergeCell ref="G29:G30"/>
    <mergeCell ref="C20:C21"/>
    <mergeCell ref="D20:D21"/>
    <mergeCell ref="E20:G20"/>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D88"/>
  <sheetViews>
    <sheetView zoomScalePageLayoutView="0" workbookViewId="0" topLeftCell="A1">
      <pane ySplit="1320" topLeftCell="A1" activePane="bottomLeft" state="split"/>
      <selection pane="topLeft" activeCell="A1" sqref="A1:IV16384"/>
      <selection pane="bottomLeft" activeCell="D2" sqref="D2"/>
    </sheetView>
  </sheetViews>
  <sheetFormatPr defaultColWidth="9.140625" defaultRowHeight="12.75"/>
  <cols>
    <col min="1" max="1" width="17.421875" style="0" customWidth="1"/>
    <col min="2" max="2" width="12.421875" style="0" customWidth="1"/>
    <col min="4" max="4" width="17.7109375" style="0" customWidth="1"/>
    <col min="7" max="7" width="12.00390625" style="0" customWidth="1"/>
    <col min="9" max="9" width="13.00390625" style="0" customWidth="1"/>
    <col min="10" max="10" width="22.57421875" style="0" customWidth="1"/>
    <col min="11" max="11" width="25.57421875" style="0" customWidth="1"/>
    <col min="12" max="13" width="14.57421875" style="0" customWidth="1"/>
    <col min="14" max="14" width="14.7109375" style="0" customWidth="1"/>
    <col min="16" max="17" width="11.140625" style="0" customWidth="1"/>
    <col min="19" max="19" width="14.00390625" style="0" customWidth="1"/>
    <col min="20" max="21" width="12.28125" style="0" customWidth="1"/>
    <col min="22" max="22" width="12.421875" style="0" customWidth="1"/>
    <col min="24" max="24" width="28.421875" style="0" customWidth="1"/>
    <col min="25" max="25" width="9.00390625" style="0" customWidth="1"/>
    <col min="26" max="26" width="15.421875" style="61" customWidth="1"/>
    <col min="27" max="27" width="19.57421875" style="0" customWidth="1"/>
    <col min="28" max="28" width="16.8515625" style="0" customWidth="1"/>
  </cols>
  <sheetData>
    <row r="1" spans="1:30" s="670" customFormat="1" ht="51">
      <c r="A1" s="669" t="s">
        <v>728</v>
      </c>
      <c r="B1" s="670" t="s">
        <v>939</v>
      </c>
      <c r="C1" s="671" t="s">
        <v>450</v>
      </c>
      <c r="D1" s="672" t="s">
        <v>332</v>
      </c>
      <c r="E1" s="671" t="s">
        <v>451</v>
      </c>
      <c r="F1" s="671" t="s">
        <v>452</v>
      </c>
      <c r="G1" s="671" t="s">
        <v>453</v>
      </c>
      <c r="H1" s="671" t="s">
        <v>454</v>
      </c>
      <c r="I1" s="671" t="s">
        <v>455</v>
      </c>
      <c r="J1" s="671" t="s">
        <v>456</v>
      </c>
      <c r="K1" s="671" t="s">
        <v>457</v>
      </c>
      <c r="L1" s="673" t="s">
        <v>738</v>
      </c>
      <c r="M1" s="673" t="s">
        <v>739</v>
      </c>
      <c r="N1" s="673" t="s">
        <v>36</v>
      </c>
      <c r="O1" s="673" t="s">
        <v>32</v>
      </c>
      <c r="P1" s="673" t="s">
        <v>33</v>
      </c>
      <c r="Q1" s="673" t="s">
        <v>35</v>
      </c>
      <c r="R1" s="669" t="s">
        <v>465</v>
      </c>
      <c r="S1" s="670" t="s">
        <v>34</v>
      </c>
      <c r="T1" s="670" t="s">
        <v>37</v>
      </c>
      <c r="U1" s="670" t="s">
        <v>687</v>
      </c>
      <c r="V1" s="670" t="s">
        <v>38</v>
      </c>
      <c r="W1" s="670" t="s">
        <v>39</v>
      </c>
      <c r="X1" s="670" t="s">
        <v>173</v>
      </c>
      <c r="Y1" s="670" t="s">
        <v>939</v>
      </c>
      <c r="Z1" s="674" t="s">
        <v>188</v>
      </c>
      <c r="AA1" s="670" t="s">
        <v>179</v>
      </c>
      <c r="AB1" s="670" t="s">
        <v>174</v>
      </c>
      <c r="AC1" s="670" t="s">
        <v>175</v>
      </c>
      <c r="AD1" s="670" t="s">
        <v>189</v>
      </c>
    </row>
    <row r="2" spans="1:30" ht="12.75">
      <c r="A2" t="s">
        <v>31</v>
      </c>
      <c r="B2" t="s">
        <v>940</v>
      </c>
      <c r="C2">
        <f>'Recycle pits'!D12</f>
        <v>1</v>
      </c>
      <c r="D2" t="str">
        <f>'Recycle pits'!E12</f>
        <v>Name removed</v>
      </c>
      <c r="E2" t="str">
        <f>'Recycle pits'!F12</f>
        <v>Cane </v>
      </c>
      <c r="F2">
        <f>'Recycle pits'!G12</f>
        <v>16000</v>
      </c>
      <c r="G2">
        <f>'Recycle pits'!H12</f>
        <v>8000</v>
      </c>
      <c r="H2">
        <f>'Recycle pits'!I12</f>
        <v>8000</v>
      </c>
      <c r="I2" s="552">
        <f>'Recycle pits'!J12</f>
        <v>0.5</v>
      </c>
      <c r="J2" t="str">
        <f>'Recycle pits'!K12</f>
        <v>Recycle pit</v>
      </c>
      <c r="K2" t="str">
        <f>'Recycle pits'!L12</f>
        <v>Lot number removed</v>
      </c>
      <c r="L2">
        <f>'Recycle pits'!O12</f>
        <v>0</v>
      </c>
      <c r="M2">
        <f>'Recycle pits'!P12</f>
        <v>0</v>
      </c>
      <c r="N2" s="563">
        <f>'Recycle pits'!AR12</f>
        <v>112.82130241584001</v>
      </c>
      <c r="O2">
        <f>'Recycle pits'!AS12</f>
        <v>5</v>
      </c>
      <c r="P2">
        <f>'Recycle pits'!AQ12</f>
        <v>1</v>
      </c>
      <c r="Q2" s="563">
        <f>'Recycle pits'!AT12</f>
        <v>564.1065120792</v>
      </c>
      <c r="R2" s="564">
        <f>'Recycle pits'!AY12</f>
        <v>0.445</v>
      </c>
      <c r="S2" s="564">
        <f>'Recycle pits'!BA12</f>
        <v>0.08000000000000002</v>
      </c>
      <c r="T2" s="564">
        <f>'Recycle pits'!BC12</f>
        <v>0.007525328697038435</v>
      </c>
      <c r="U2" s="565">
        <f>'Recycle pits'!BD12</f>
        <v>8000</v>
      </c>
      <c r="V2">
        <f>'Recycle pits'!BE12</f>
        <v>9.406660871298044E-07</v>
      </c>
      <c r="W2" s="61">
        <f>V2*1000000</f>
        <v>0.9406660871298044</v>
      </c>
      <c r="X2" s="552" t="str">
        <f>'Pesticide management'!M18</f>
        <v>atrazine to zero</v>
      </c>
      <c r="Y2" s="552" t="s">
        <v>176</v>
      </c>
      <c r="Z2" s="61">
        <f>'Pesticide management'!AH18*0.5</f>
        <v>0.39762953278744934</v>
      </c>
      <c r="AA2">
        <f>'Pesticide management'!AT18*0.5</f>
        <v>0.0019287193626352033</v>
      </c>
      <c r="AB2" s="583">
        <f aca="true" t="shared" si="0" ref="AB2:AB42">(T2+AA2)</f>
        <v>0.009454048059673639</v>
      </c>
      <c r="AC2" s="668">
        <f aca="true" t="shared" si="1" ref="AC2:AC33">AB2/U2*1000000</f>
        <v>1.1817560074592048</v>
      </c>
      <c r="AD2" s="46">
        <f>RANK(AC2,$AC$2:$AC$88,0)</f>
        <v>18</v>
      </c>
    </row>
    <row r="3" spans="1:30" s="1" customFormat="1" ht="12.75">
      <c r="A3" s="1" t="s">
        <v>31</v>
      </c>
      <c r="B3" s="1" t="s">
        <v>940</v>
      </c>
      <c r="C3" s="1">
        <f>'Recycle pits'!D13</f>
        <v>2</v>
      </c>
      <c r="D3" s="1" t="str">
        <f>'Recycle pits'!E13</f>
        <v>Name removed</v>
      </c>
      <c r="E3" s="1" t="str">
        <f>'Recycle pits'!F13</f>
        <v>Cane </v>
      </c>
      <c r="F3" s="1">
        <f>'Recycle pits'!G13</f>
        <v>15000</v>
      </c>
      <c r="G3" s="1">
        <f>'Recycle pits'!H13</f>
        <v>3500</v>
      </c>
      <c r="H3" s="1">
        <f>'Recycle pits'!I13</f>
        <v>11500</v>
      </c>
      <c r="I3" s="581">
        <f>'Recycle pits'!J13</f>
        <v>0.7666666666666667</v>
      </c>
      <c r="J3" s="1" t="str">
        <f>'Recycle pits'!K13</f>
        <v>Recycle pit</v>
      </c>
      <c r="K3" s="1" t="str">
        <f>'Recycle pits'!L13</f>
        <v>Lot number removed</v>
      </c>
      <c r="L3" s="1">
        <f>'Recycle pits'!O13</f>
        <v>0</v>
      </c>
      <c r="M3" s="1">
        <f>'Recycle pits'!P13</f>
        <v>0</v>
      </c>
      <c r="N3" s="582">
        <f>'Recycle pits'!AR13</f>
        <v>67.009756447861</v>
      </c>
      <c r="O3" s="1">
        <f>'Recycle pits'!AS13</f>
        <v>5</v>
      </c>
      <c r="P3" s="1">
        <f>'Recycle pits'!AQ13</f>
        <v>1</v>
      </c>
      <c r="Q3" s="563">
        <f>'Recycle pits'!AT13</f>
        <v>335.04878223930496</v>
      </c>
      <c r="R3" s="583">
        <f>'Recycle pits'!AY13</f>
        <v>0.37625000000000003</v>
      </c>
      <c r="S3" s="583">
        <f>'Recycle pits'!BA13</f>
        <v>0.08785714285714284</v>
      </c>
      <c r="T3" s="583">
        <f>'Recycle pits'!BC13</f>
        <v>0.004441956384542219</v>
      </c>
      <c r="U3" s="584">
        <f>'Recycle pits'!BD13</f>
        <v>11500</v>
      </c>
      <c r="V3" s="1">
        <f>'Recycle pits'!BE13</f>
        <v>3.862570769167147E-07</v>
      </c>
      <c r="W3" s="585">
        <f aca="true" t="shared" si="2" ref="W3:W41">V3*1000000</f>
        <v>0.3862570769167147</v>
      </c>
      <c r="X3" s="1" t="str">
        <f>'Nutrient management'!J24</f>
        <v>Weed free legume and EM mapping </v>
      </c>
      <c r="Y3" s="1" t="s">
        <v>177</v>
      </c>
      <c r="Z3" s="585">
        <f>'Nutrient management'!AY24*0.5</f>
        <v>531.2702827682538</v>
      </c>
      <c r="AA3" s="1">
        <f>'Nutrient management'!BH24*0.5</f>
        <v>0.007143513430471232</v>
      </c>
      <c r="AB3" s="583">
        <f t="shared" si="0"/>
        <v>0.01158546981501345</v>
      </c>
      <c r="AC3" s="668">
        <f t="shared" si="1"/>
        <v>1.0074321578272565</v>
      </c>
      <c r="AD3" s="46">
        <f aca="true" t="shared" si="3" ref="AD3:AD66">RANK(AC3,$AC$2:$AC$88,0)</f>
        <v>23</v>
      </c>
    </row>
    <row r="4" spans="1:30" ht="12.75">
      <c r="A4" t="s">
        <v>31</v>
      </c>
      <c r="B4" t="s">
        <v>940</v>
      </c>
      <c r="C4">
        <f>'Recycle pits'!D14</f>
        <v>3</v>
      </c>
      <c r="D4" t="str">
        <f>'Recycle pits'!E14</f>
        <v>Name removed</v>
      </c>
      <c r="E4" t="str">
        <f>'Recycle pits'!F14</f>
        <v>Cane </v>
      </c>
      <c r="F4">
        <f>'Recycle pits'!G14</f>
        <v>12000</v>
      </c>
      <c r="G4">
        <f>'Recycle pits'!H14</f>
        <v>0</v>
      </c>
      <c r="H4">
        <f>'Recycle pits'!I14</f>
        <v>12000</v>
      </c>
      <c r="I4" s="552">
        <f>'Recycle pits'!J14</f>
        <v>1</v>
      </c>
      <c r="J4" t="str">
        <f>'Recycle pits'!K14</f>
        <v>Recycle pit</v>
      </c>
      <c r="K4" t="str">
        <f>'Recycle pits'!L14</f>
        <v>Lot number removed</v>
      </c>
      <c r="L4">
        <f>'Recycle pits'!O14</f>
        <v>0</v>
      </c>
      <c r="M4">
        <f>'Recycle pits'!P14</f>
        <v>0</v>
      </c>
      <c r="N4" s="563">
        <f>'Recycle pits'!AR14</f>
        <v>52.41525702614457</v>
      </c>
      <c r="O4">
        <f>'Recycle pits'!AS14</f>
        <v>5</v>
      </c>
      <c r="P4">
        <f>'Recycle pits'!AQ14</f>
        <v>1</v>
      </c>
      <c r="Q4" s="563">
        <f>'Recycle pits'!AT14</f>
        <v>262.07628513072285</v>
      </c>
      <c r="R4" s="564">
        <f>'Recycle pits'!AY14</f>
        <v>0.54625</v>
      </c>
      <c r="S4" s="564">
        <f>'Recycle pits'!BA14</f>
        <v>0.09857142857142855</v>
      </c>
      <c r="T4" s="564">
        <f>'Recycle pits'!BC14</f>
        <v>0.0035333217264579687</v>
      </c>
      <c r="U4" s="565">
        <f>'Recycle pits'!BD14</f>
        <v>12000</v>
      </c>
      <c r="V4">
        <f>'Recycle pits'!BE14</f>
        <v>2.944434772048307E-07</v>
      </c>
      <c r="W4" s="61">
        <f t="shared" si="2"/>
        <v>0.2944434772048307</v>
      </c>
      <c r="AB4" s="583">
        <f t="shared" si="0"/>
        <v>0.0035333217264579687</v>
      </c>
      <c r="AC4" s="668">
        <f t="shared" si="1"/>
        <v>0.2944434772048307</v>
      </c>
      <c r="AD4" s="46">
        <f t="shared" si="3"/>
        <v>43</v>
      </c>
    </row>
    <row r="5" spans="1:30" ht="12.75">
      <c r="A5" t="s">
        <v>31</v>
      </c>
      <c r="B5" t="s">
        <v>940</v>
      </c>
      <c r="C5">
        <f>'Recycle pits'!D15</f>
        <v>4</v>
      </c>
      <c r="D5" t="str">
        <f>'Recycle pits'!E15</f>
        <v>Name removed</v>
      </c>
      <c r="E5" t="str">
        <f>'Recycle pits'!F15</f>
        <v>Cane </v>
      </c>
      <c r="F5">
        <f>'Recycle pits'!G15</f>
        <v>45000</v>
      </c>
      <c r="G5">
        <f>'Recycle pits'!H15</f>
        <v>15000</v>
      </c>
      <c r="H5">
        <f>'Recycle pits'!I15</f>
        <v>30000</v>
      </c>
      <c r="I5" s="552">
        <f>'Recycle pits'!J15</f>
        <v>0.6666666666666666</v>
      </c>
      <c r="J5" t="str">
        <f>'Recycle pits'!K15</f>
        <v>Recycle pit</v>
      </c>
      <c r="K5" t="str">
        <f>'Recycle pits'!L15</f>
        <v>Lot number removed</v>
      </c>
      <c r="L5">
        <f>'Recycle pits'!O15</f>
        <v>0</v>
      </c>
      <c r="M5">
        <f>'Recycle pits'!P15</f>
        <v>0</v>
      </c>
      <c r="N5" s="563">
        <f>'Recycle pits'!AR15</f>
        <v>173.80607590660918</v>
      </c>
      <c r="O5">
        <f>'Recycle pits'!AS15</f>
        <v>5</v>
      </c>
      <c r="P5">
        <f>'Recycle pits'!AQ15</f>
        <v>1</v>
      </c>
      <c r="Q5" s="563">
        <f>'Recycle pits'!AT15</f>
        <v>869.0303795330459</v>
      </c>
      <c r="R5" s="564">
        <f>'Recycle pits'!AY15</f>
        <v>0.74</v>
      </c>
      <c r="S5" s="564">
        <f>'Recycle pits'!BA15</f>
        <v>0</v>
      </c>
      <c r="T5" s="564">
        <f>'Recycle pits'!BC15</f>
        <v>0.011873026683863265</v>
      </c>
      <c r="U5" s="565">
        <f>'Recycle pits'!BD15</f>
        <v>30000</v>
      </c>
      <c r="V5">
        <f>'Recycle pits'!BE15</f>
        <v>3.957675561287755E-07</v>
      </c>
      <c r="W5" s="61">
        <f t="shared" si="2"/>
        <v>0.3957675561287755</v>
      </c>
      <c r="AB5" s="583">
        <f t="shared" si="0"/>
        <v>0.011873026683863265</v>
      </c>
      <c r="AC5" s="668">
        <f t="shared" si="1"/>
        <v>0.3957675561287755</v>
      </c>
      <c r="AD5" s="46">
        <f t="shared" si="3"/>
        <v>38</v>
      </c>
    </row>
    <row r="6" spans="1:30" ht="12.75">
      <c r="A6" t="s">
        <v>31</v>
      </c>
      <c r="B6" t="s">
        <v>940</v>
      </c>
      <c r="C6">
        <f>'Recycle pits'!D16</f>
        <v>5</v>
      </c>
      <c r="D6" t="str">
        <f>'Recycle pits'!E16</f>
        <v>Name removed</v>
      </c>
      <c r="E6" t="str">
        <f>'Recycle pits'!F16</f>
        <v>Cane </v>
      </c>
      <c r="F6">
        <f>'Recycle pits'!G16</f>
        <v>30000</v>
      </c>
      <c r="G6">
        <f>'Recycle pits'!H16</f>
        <v>18000</v>
      </c>
      <c r="H6">
        <f>'Recycle pits'!I16</f>
        <v>12000</v>
      </c>
      <c r="I6" s="552">
        <f>'Recycle pits'!J16</f>
        <v>0.4</v>
      </c>
      <c r="J6" t="str">
        <f>'Recycle pits'!K16</f>
        <v>Recycle pit</v>
      </c>
      <c r="K6" t="str">
        <f>'Recycle pits'!L16</f>
        <v>Lot number removed</v>
      </c>
      <c r="L6">
        <f>'Recycle pits'!O16</f>
        <v>0</v>
      </c>
      <c r="M6">
        <f>'Recycle pits'!P16</f>
        <v>0</v>
      </c>
      <c r="N6" s="563">
        <f>'Recycle pits'!AR16</f>
        <v>63.824477134425635</v>
      </c>
      <c r="O6">
        <f>'Recycle pits'!AS16</f>
        <v>5</v>
      </c>
      <c r="P6">
        <f>'Recycle pits'!AQ16</f>
        <v>1</v>
      </c>
      <c r="Q6" s="563">
        <f>'Recycle pits'!AT16</f>
        <v>319.1223856721282</v>
      </c>
      <c r="R6" s="564">
        <f>'Recycle pits'!AY16</f>
        <v>0.44625000000000004</v>
      </c>
      <c r="S6" s="564">
        <f>'Recycle pits'!BA16</f>
        <v>0.0057142857142857195</v>
      </c>
      <c r="T6" s="564">
        <f>'Recycle pits'!BC16</f>
        <v>0.004241934471029664</v>
      </c>
      <c r="U6" s="565">
        <f>'Recycle pits'!BD16</f>
        <v>12000</v>
      </c>
      <c r="V6">
        <f>'Recycle pits'!BE16</f>
        <v>3.53494539252472E-07</v>
      </c>
      <c r="W6" s="61">
        <f t="shared" si="2"/>
        <v>0.35349453925247204</v>
      </c>
      <c r="AB6" s="583">
        <f t="shared" si="0"/>
        <v>0.004241934471029664</v>
      </c>
      <c r="AC6" s="668">
        <f t="shared" si="1"/>
        <v>0.35349453925247204</v>
      </c>
      <c r="AD6" s="46">
        <f t="shared" si="3"/>
        <v>40</v>
      </c>
    </row>
    <row r="7" spans="1:30" ht="12.75">
      <c r="A7" t="s">
        <v>31</v>
      </c>
      <c r="B7" t="s">
        <v>940</v>
      </c>
      <c r="C7">
        <f>'Recycle pits'!D17</f>
        <v>6</v>
      </c>
      <c r="D7" t="str">
        <f>'Recycle pits'!E17</f>
        <v>Name removed</v>
      </c>
      <c r="E7" t="str">
        <f>'Recycle pits'!F17</f>
        <v>Cane </v>
      </c>
      <c r="F7">
        <f>'Recycle pits'!G17</f>
        <v>40000</v>
      </c>
      <c r="G7">
        <f>'Recycle pits'!H17</f>
        <v>10000</v>
      </c>
      <c r="H7">
        <f>'Recycle pits'!I17</f>
        <v>30000</v>
      </c>
      <c r="I7" s="552">
        <f>'Recycle pits'!J17</f>
        <v>0.75</v>
      </c>
      <c r="J7" t="str">
        <f>'Recycle pits'!K17</f>
        <v>Recycle pit extension + upgrade</v>
      </c>
      <c r="K7" t="str">
        <f>'Recycle pits'!L17</f>
        <v>Lot number removed</v>
      </c>
      <c r="L7">
        <f>'Recycle pits'!O17</f>
        <v>0</v>
      </c>
      <c r="M7">
        <f>'Recycle pits'!P17</f>
        <v>0</v>
      </c>
      <c r="N7" s="563">
        <f>'Recycle pits'!AR17</f>
        <v>305.0083946837867</v>
      </c>
      <c r="O7">
        <f>'Recycle pits'!AS17</f>
        <v>5</v>
      </c>
      <c r="P7">
        <f>'Recycle pits'!AQ17</f>
        <v>0.35</v>
      </c>
      <c r="Q7" s="563">
        <f>'Recycle pits'!AT17</f>
        <v>1525.0419734189336</v>
      </c>
      <c r="R7" s="564">
        <f>'Recycle pits'!AY17</f>
        <v>0.4841666666666667</v>
      </c>
      <c r="S7" s="564">
        <f>'Recycle pits'!BA17</f>
        <v>0.03357142857142857</v>
      </c>
      <c r="T7" s="564">
        <f>'Recycle pits'!BC17</f>
        <v>0.020373530792706207</v>
      </c>
      <c r="U7" s="565">
        <f>'Recycle pits'!BD17</f>
        <v>30000</v>
      </c>
      <c r="V7">
        <f>'Recycle pits'!BE17</f>
        <v>6.791176930902069E-07</v>
      </c>
      <c r="W7" s="61">
        <f t="shared" si="2"/>
        <v>0.6791176930902069</v>
      </c>
      <c r="AB7" s="583">
        <f t="shared" si="0"/>
        <v>0.020373530792706207</v>
      </c>
      <c r="AC7" s="668">
        <f t="shared" si="1"/>
        <v>0.6791176930902069</v>
      </c>
      <c r="AD7" s="46">
        <f t="shared" si="3"/>
        <v>29</v>
      </c>
    </row>
    <row r="8" spans="1:30" ht="12.75">
      <c r="A8" t="s">
        <v>31</v>
      </c>
      <c r="B8" t="s">
        <v>940</v>
      </c>
      <c r="C8">
        <f>'Recycle pits'!D18</f>
        <v>7</v>
      </c>
      <c r="D8" t="str">
        <f>'Recycle pits'!E18</f>
        <v>Name removed</v>
      </c>
      <c r="E8" t="str">
        <f>'Recycle pits'!F18</f>
        <v>Cane </v>
      </c>
      <c r="F8">
        <f>'Recycle pits'!G18</f>
        <v>50000</v>
      </c>
      <c r="G8">
        <f>'Recycle pits'!H18</f>
        <v>30000</v>
      </c>
      <c r="H8">
        <f>'Recycle pits'!I18</f>
        <v>20000</v>
      </c>
      <c r="I8" s="552">
        <f>'Recycle pits'!J18</f>
        <v>0.4</v>
      </c>
      <c r="J8" t="str">
        <f>'Recycle pits'!K18</f>
        <v>Recycle pit</v>
      </c>
      <c r="K8" t="str">
        <f>'Recycle pits'!L18</f>
        <v>Lot number removed</v>
      </c>
      <c r="L8">
        <f>'Recycle pits'!O18</f>
        <v>0</v>
      </c>
      <c r="M8">
        <f>'Recycle pits'!P18</f>
        <v>0</v>
      </c>
      <c r="N8" s="563">
        <f>'Recycle pits'!AR18</f>
        <v>217.92089395700845</v>
      </c>
      <c r="O8">
        <f>'Recycle pits'!AS18</f>
        <v>5</v>
      </c>
      <c r="P8">
        <f>'Recycle pits'!AQ18</f>
        <v>1</v>
      </c>
      <c r="Q8" s="563">
        <f>'Recycle pits'!AT18</f>
        <v>1089.6044697850423</v>
      </c>
      <c r="R8" s="564">
        <f>'Recycle pits'!AY18</f>
        <v>0.6325000000000001</v>
      </c>
      <c r="S8" s="564">
        <f>'Recycle pits'!BA18</f>
        <v>0.004464285714285714</v>
      </c>
      <c r="T8" s="564">
        <f>'Recycle pits'!BC18</f>
        <v>0.014740879673693646</v>
      </c>
      <c r="U8" s="565">
        <f>'Recycle pits'!BD18</f>
        <v>20000</v>
      </c>
      <c r="V8">
        <f>'Recycle pits'!BE18</f>
        <v>7.370439836846823E-07</v>
      </c>
      <c r="W8" s="61">
        <f t="shared" si="2"/>
        <v>0.7370439836846824</v>
      </c>
      <c r="AB8" s="583">
        <f t="shared" si="0"/>
        <v>0.014740879673693646</v>
      </c>
      <c r="AC8" s="668">
        <f t="shared" si="1"/>
        <v>0.7370439836846824</v>
      </c>
      <c r="AD8" s="46">
        <f t="shared" si="3"/>
        <v>27</v>
      </c>
    </row>
    <row r="9" spans="1:30" ht="12.75">
      <c r="A9" t="s">
        <v>31</v>
      </c>
      <c r="B9" t="s">
        <v>940</v>
      </c>
      <c r="C9">
        <f>'Recycle pits'!D19</f>
        <v>9</v>
      </c>
      <c r="D9" t="str">
        <f>'Recycle pits'!E19</f>
        <v>Name removed</v>
      </c>
      <c r="E9" t="str">
        <f>'Recycle pits'!F19</f>
        <v>Cane </v>
      </c>
      <c r="F9">
        <f>'Recycle pits'!G19</f>
        <v>15000</v>
      </c>
      <c r="G9">
        <f>'Recycle pits'!H19</f>
        <v>5000</v>
      </c>
      <c r="H9">
        <f>'Recycle pits'!I19</f>
        <v>10000</v>
      </c>
      <c r="I9" s="552">
        <f>'Recycle pits'!J19</f>
        <v>0.6666666666666666</v>
      </c>
      <c r="J9" t="str">
        <f>'Recycle pits'!K19</f>
        <v>Recycle pit</v>
      </c>
      <c r="K9" t="str">
        <f>'Recycle pits'!L19</f>
        <v>Lot number removed</v>
      </c>
      <c r="L9">
        <f>'Recycle pits'!O19</f>
        <v>0</v>
      </c>
      <c r="M9">
        <f>'Recycle pits'!P19</f>
        <v>0</v>
      </c>
      <c r="N9" s="563">
        <f>'Recycle pits'!AR19</f>
        <v>103.13144541320483</v>
      </c>
      <c r="O9">
        <f>'Recycle pits'!AS19</f>
        <v>5</v>
      </c>
      <c r="P9">
        <f>'Recycle pits'!AQ19</f>
        <v>1</v>
      </c>
      <c r="Q9" s="563">
        <f>'Recycle pits'!AT19</f>
        <v>515.6572270660241</v>
      </c>
      <c r="R9" s="564">
        <f>'Recycle pits'!AY19</f>
        <v>0.5316666666666666</v>
      </c>
      <c r="S9" s="564">
        <f>'Recycle pits'!BA19</f>
        <v>0.38785714285714284</v>
      </c>
      <c r="T9" s="564">
        <f>'Recycle pits'!BC19</f>
        <v>0.007042421322178776</v>
      </c>
      <c r="U9" s="565">
        <f>'Recycle pits'!BD19</f>
        <v>10000</v>
      </c>
      <c r="V9">
        <f>'Recycle pits'!BE19</f>
        <v>7.042421322178776E-07</v>
      </c>
      <c r="W9" s="61">
        <f t="shared" si="2"/>
        <v>0.7042421322178777</v>
      </c>
      <c r="AB9" s="583">
        <f t="shared" si="0"/>
        <v>0.007042421322178776</v>
      </c>
      <c r="AC9" s="668">
        <f t="shared" si="1"/>
        <v>0.7042421322178777</v>
      </c>
      <c r="AD9" s="46">
        <f t="shared" si="3"/>
        <v>28</v>
      </c>
    </row>
    <row r="10" spans="1:30" ht="12.75">
      <c r="A10" t="s">
        <v>31</v>
      </c>
      <c r="B10" t="s">
        <v>940</v>
      </c>
      <c r="C10">
        <f>'Recycle pits'!D20</f>
        <v>10</v>
      </c>
      <c r="D10" t="str">
        <f>'Recycle pits'!E20</f>
        <v>Name removed</v>
      </c>
      <c r="E10" t="str">
        <f>'Recycle pits'!F20</f>
        <v>Cane </v>
      </c>
      <c r="F10">
        <f>'Recycle pits'!G20</f>
        <v>50000</v>
      </c>
      <c r="G10">
        <f>'Recycle pits'!H20</f>
        <v>0</v>
      </c>
      <c r="H10">
        <f>'Recycle pits'!I20</f>
        <v>50000</v>
      </c>
      <c r="I10" s="552">
        <f>'Recycle pits'!J20</f>
        <v>1</v>
      </c>
      <c r="J10" t="str">
        <f>'Recycle pits'!K20</f>
        <v>Recycle pit extension</v>
      </c>
      <c r="K10" t="str">
        <f>'Recycle pits'!L20</f>
        <v>Lot number removed</v>
      </c>
      <c r="L10">
        <f>'Recycle pits'!O20</f>
        <v>0</v>
      </c>
      <c r="M10">
        <f>'Recycle pits'!P20</f>
        <v>0</v>
      </c>
      <c r="N10" s="563">
        <f>'Recycle pits'!AR20</f>
        <v>27.558117819470624</v>
      </c>
      <c r="O10">
        <f>'Recycle pits'!AS20</f>
        <v>5</v>
      </c>
      <c r="P10">
        <f>'Recycle pits'!AQ20</f>
        <v>0.13862943611198908</v>
      </c>
      <c r="Q10" s="563">
        <f>'Recycle pits'!AT20</f>
        <v>137.79058909735312</v>
      </c>
      <c r="R10" s="564">
        <f>'Recycle pits'!AY20</f>
        <v>0.185</v>
      </c>
      <c r="S10" s="564">
        <f>'Recycle pits'!BA20</f>
        <v>0</v>
      </c>
      <c r="T10" s="564">
        <f>'Recycle pits'!BC20</f>
        <v>0.0017852654241909953</v>
      </c>
      <c r="U10" s="565">
        <f>'Recycle pits'!BD20</f>
        <v>50000</v>
      </c>
      <c r="V10">
        <f>'Recycle pits'!BE20</f>
        <v>3.5705308483819906E-08</v>
      </c>
      <c r="W10" s="61">
        <f t="shared" si="2"/>
        <v>0.035705308483819906</v>
      </c>
      <c r="AB10" s="583">
        <f t="shared" si="0"/>
        <v>0.0017852654241909953</v>
      </c>
      <c r="AC10" s="668">
        <f t="shared" si="1"/>
        <v>0.035705308483819906</v>
      </c>
      <c r="AD10" s="46">
        <f t="shared" si="3"/>
        <v>75</v>
      </c>
    </row>
    <row r="11" spans="1:30" s="1" customFormat="1" ht="12.75">
      <c r="A11" s="1" t="s">
        <v>31</v>
      </c>
      <c r="B11" s="1" t="s">
        <v>940</v>
      </c>
      <c r="C11" s="1">
        <f>'Recycle pits'!D21</f>
        <v>11</v>
      </c>
      <c r="D11" s="1" t="str">
        <f>'Recycle pits'!E21</f>
        <v>Name removed</v>
      </c>
      <c r="E11" s="1" t="str">
        <f>'Recycle pits'!F21</f>
        <v>Cane </v>
      </c>
      <c r="F11" s="1">
        <f>'Recycle pits'!G21</f>
        <v>120000</v>
      </c>
      <c r="G11" s="1">
        <f>'Recycle pits'!H21</f>
        <v>105000</v>
      </c>
      <c r="H11" s="1">
        <f>'Recycle pits'!I21</f>
        <v>15000</v>
      </c>
      <c r="I11" s="581">
        <f>'Recycle pits'!J21</f>
        <v>0.125</v>
      </c>
      <c r="J11" s="1" t="str">
        <f>'Recycle pits'!K21</f>
        <v>Recycle pit</v>
      </c>
      <c r="K11" s="1" t="str">
        <f>'Recycle pits'!L21</f>
        <v>Lot number removed</v>
      </c>
      <c r="L11" s="1">
        <f>'Recycle pits'!O21</f>
        <v>0</v>
      </c>
      <c r="M11" s="1">
        <f>'Recycle pits'!P21</f>
        <v>0</v>
      </c>
      <c r="N11" s="582">
        <f>'Recycle pits'!AR21</f>
        <v>1320.0332410624317</v>
      </c>
      <c r="O11" s="1">
        <f>'Recycle pits'!AS21</f>
        <v>5</v>
      </c>
      <c r="P11" s="1">
        <f>'Recycle pits'!AQ21</f>
        <v>1</v>
      </c>
      <c r="Q11" s="563">
        <f>'Recycle pits'!AT21</f>
        <v>6600.166205312158</v>
      </c>
      <c r="R11" s="583">
        <f>'Recycle pits'!AY21</f>
        <v>0.49583333333333335</v>
      </c>
      <c r="S11" s="583">
        <f>'Recycle pits'!BA21</f>
        <v>0.0125</v>
      </c>
      <c r="T11" s="583">
        <f>'Recycle pits'!BC21</f>
        <v>0.08817903684778662</v>
      </c>
      <c r="U11" s="584">
        <f>'Recycle pits'!BD21</f>
        <v>15000</v>
      </c>
      <c r="V11" s="1">
        <f>'Recycle pits'!BE21</f>
        <v>5.878602456519108E-06</v>
      </c>
      <c r="W11" s="585">
        <f t="shared" si="2"/>
        <v>5.878602456519108</v>
      </c>
      <c r="X11" s="1" t="str">
        <f>'Nutrient management'!J25</f>
        <v>Fertilizer monitor and GPS unit</v>
      </c>
      <c r="Y11" s="1" t="s">
        <v>177</v>
      </c>
      <c r="Z11" s="585">
        <f>'Nutrient management'!AY25*0.5</f>
        <v>831.2968055854884</v>
      </c>
      <c r="AA11" s="1">
        <f>'Nutrient management'!BH25*0.5</f>
        <v>0.011183661968870813</v>
      </c>
      <c r="AB11" s="583">
        <f t="shared" si="0"/>
        <v>0.09936269881665744</v>
      </c>
      <c r="AC11" s="668">
        <f t="shared" si="1"/>
        <v>6.624179921110496</v>
      </c>
      <c r="AD11" s="46">
        <f t="shared" si="3"/>
        <v>8</v>
      </c>
    </row>
    <row r="12" spans="1:30" ht="12.75">
      <c r="A12" t="s">
        <v>31</v>
      </c>
      <c r="B12" t="s">
        <v>940</v>
      </c>
      <c r="C12">
        <f>'Recycle pits'!D22</f>
        <v>12</v>
      </c>
      <c r="D12" t="str">
        <f>'Recycle pits'!E22</f>
        <v>Name removed</v>
      </c>
      <c r="E12" t="str">
        <f>'Recycle pits'!F22</f>
        <v>Cane </v>
      </c>
      <c r="F12">
        <f>'Recycle pits'!G22</f>
        <v>15000</v>
      </c>
      <c r="G12">
        <f>'Recycle pits'!H22</f>
        <v>8000</v>
      </c>
      <c r="H12">
        <f>'Recycle pits'!I22</f>
        <v>7000</v>
      </c>
      <c r="I12" s="552">
        <f>'Recycle pits'!J22</f>
        <v>0.4666666666666667</v>
      </c>
      <c r="J12" t="str">
        <f>'Recycle pits'!K22</f>
        <v>Recycle Pit</v>
      </c>
      <c r="K12" t="str">
        <f>'Recycle pits'!L22</f>
        <v>Lot number removed</v>
      </c>
      <c r="L12">
        <f>'Recycle pits'!O22</f>
        <v>0</v>
      </c>
      <c r="M12">
        <f>'Recycle pits'!P22</f>
        <v>0</v>
      </c>
      <c r="N12" s="563">
        <f>'Recycle pits'!AR22</f>
        <v>1341.6478557625005</v>
      </c>
      <c r="O12">
        <f>'Recycle pits'!AS22</f>
        <v>5</v>
      </c>
      <c r="P12">
        <f>'Recycle pits'!AQ22</f>
        <v>1</v>
      </c>
      <c r="Q12" s="563">
        <f>'Recycle pits'!AT22</f>
        <v>6708.239278812503</v>
      </c>
      <c r="R12" s="564">
        <f>'Recycle pits'!AY22</f>
        <v>0.35041666666666665</v>
      </c>
      <c r="S12" s="564">
        <f>'Recycle pits'!BA22</f>
        <v>0.016428571428571435</v>
      </c>
      <c r="T12" s="564">
        <f>'Recycle pits'!BC22</f>
        <v>0.08839855736452396</v>
      </c>
      <c r="U12" s="565">
        <f>'Recycle pits'!BD22</f>
        <v>7000</v>
      </c>
      <c r="V12">
        <f>'Recycle pits'!BE22</f>
        <v>1.2628365337789137E-05</v>
      </c>
      <c r="W12" s="61">
        <f t="shared" si="2"/>
        <v>12.628365337789136</v>
      </c>
      <c r="AB12" s="583">
        <f t="shared" si="0"/>
        <v>0.08839855736452396</v>
      </c>
      <c r="AC12" s="668">
        <f t="shared" si="1"/>
        <v>12.628365337789136</v>
      </c>
      <c r="AD12" s="46">
        <f t="shared" si="3"/>
        <v>4</v>
      </c>
    </row>
    <row r="13" spans="1:30" ht="12.75">
      <c r="A13" t="s">
        <v>31</v>
      </c>
      <c r="B13" t="s">
        <v>940</v>
      </c>
      <c r="C13">
        <f>'Recycle pits'!D23</f>
        <v>13</v>
      </c>
      <c r="D13" t="str">
        <f>'Recycle pits'!E23</f>
        <v>Name removed</v>
      </c>
      <c r="E13" t="str">
        <f>'Recycle pits'!F23</f>
        <v>Cane </v>
      </c>
      <c r="F13">
        <f>'Recycle pits'!G23</f>
        <v>21000</v>
      </c>
      <c r="G13">
        <f>'Recycle pits'!H23</f>
        <v>11000</v>
      </c>
      <c r="H13">
        <f>'Recycle pits'!I23</f>
        <v>10000</v>
      </c>
      <c r="I13" s="552">
        <f>'Recycle pits'!J23</f>
        <v>0.47619047619047616</v>
      </c>
      <c r="J13" t="str">
        <f>'Recycle pits'!K23</f>
        <v>Recycle pit</v>
      </c>
      <c r="K13" t="str">
        <f>'Recycle pits'!L23</f>
        <v>Lot number removed</v>
      </c>
      <c r="L13">
        <f>'Recycle pits'!O23</f>
        <v>0</v>
      </c>
      <c r="M13">
        <f>'Recycle pits'!P23</f>
        <v>0</v>
      </c>
      <c r="N13" s="563">
        <f>'Recycle pits'!AR23</f>
        <v>41.457577865683746</v>
      </c>
      <c r="O13">
        <f>'Recycle pits'!AS23</f>
        <v>5</v>
      </c>
      <c r="P13">
        <f>'Recycle pits'!AQ23</f>
        <v>1</v>
      </c>
      <c r="Q13" s="563">
        <f>'Recycle pits'!AT23</f>
        <v>207.28788932841871</v>
      </c>
      <c r="R13" s="564">
        <f>'Recycle pits'!AY23</f>
        <v>0.43291666666666667</v>
      </c>
      <c r="S13" s="564">
        <f>'Recycle pits'!BA23</f>
        <v>0.009285714285714291</v>
      </c>
      <c r="T13" s="564">
        <f>'Recycle pits'!BC23</f>
        <v>0.002752348744026254</v>
      </c>
      <c r="U13" s="565">
        <f>'Recycle pits'!BD23</f>
        <v>10000</v>
      </c>
      <c r="V13">
        <f>'Recycle pits'!BE23</f>
        <v>2.752348744026254E-07</v>
      </c>
      <c r="W13" s="61">
        <f t="shared" si="2"/>
        <v>0.2752348744026254</v>
      </c>
      <c r="AB13" s="583">
        <f t="shared" si="0"/>
        <v>0.002752348744026254</v>
      </c>
      <c r="AC13" s="668">
        <f t="shared" si="1"/>
        <v>0.2752348744026254</v>
      </c>
      <c r="AD13" s="46">
        <f t="shared" si="3"/>
        <v>44</v>
      </c>
    </row>
    <row r="14" spans="1:30" ht="12.75">
      <c r="A14" t="s">
        <v>31</v>
      </c>
      <c r="B14" t="s">
        <v>940</v>
      </c>
      <c r="C14">
        <f>'Recycle pits'!D24</f>
        <v>19</v>
      </c>
      <c r="D14" t="str">
        <f>'Recycle pits'!E24</f>
        <v>Name removed</v>
      </c>
      <c r="E14" t="str">
        <f>'Recycle pits'!F24</f>
        <v>Cane </v>
      </c>
      <c r="F14">
        <f>'Recycle pits'!G24</f>
        <v>35000</v>
      </c>
      <c r="G14">
        <f>'Recycle pits'!H24</f>
        <v>5000</v>
      </c>
      <c r="H14">
        <f>'Recycle pits'!I24</f>
        <v>30000</v>
      </c>
      <c r="I14" s="552">
        <f>'Recycle pits'!J24</f>
        <v>0.8571428571428571</v>
      </c>
      <c r="J14" t="str">
        <f>'Recycle pits'!K24</f>
        <v>Recycle pit</v>
      </c>
      <c r="K14" t="str">
        <f>'Recycle pits'!L24</f>
        <v>Lot number removed</v>
      </c>
      <c r="L14">
        <f>'Recycle pits'!O24</f>
        <v>0</v>
      </c>
      <c r="M14">
        <f>'Recycle pits'!P24</f>
        <v>0</v>
      </c>
      <c r="N14" s="563">
        <f>'Recycle pits'!AR24</f>
        <v>70.79408265264935</v>
      </c>
      <c r="O14">
        <f>'Recycle pits'!AS24</f>
        <v>5</v>
      </c>
      <c r="P14">
        <f>'Recycle pits'!AQ24</f>
        <v>1</v>
      </c>
      <c r="Q14" s="563">
        <f>'Recycle pits'!AT24</f>
        <v>353.97041326324677</v>
      </c>
      <c r="R14" s="564">
        <f>'Recycle pits'!AY24</f>
        <v>0.31</v>
      </c>
      <c r="S14" s="564">
        <f>'Recycle pits'!BA24</f>
        <v>0.004642857142857133</v>
      </c>
      <c r="T14" s="564">
        <f>'Recycle pits'!BC24</f>
        <v>0.004643534093630349</v>
      </c>
      <c r="U14" s="565">
        <f>'Recycle pits'!BD24</f>
        <v>30000</v>
      </c>
      <c r="V14">
        <f>'Recycle pits'!BE24</f>
        <v>1.5478446978767828E-07</v>
      </c>
      <c r="W14" s="61">
        <f t="shared" si="2"/>
        <v>0.15478446978767826</v>
      </c>
      <c r="AB14" s="583">
        <f t="shared" si="0"/>
        <v>0.004643534093630349</v>
      </c>
      <c r="AC14" s="668">
        <f t="shared" si="1"/>
        <v>0.15478446978767826</v>
      </c>
      <c r="AD14" s="46">
        <f t="shared" si="3"/>
        <v>57</v>
      </c>
    </row>
    <row r="15" spans="1:30" ht="12.75">
      <c r="A15" t="s">
        <v>31</v>
      </c>
      <c r="B15" t="s">
        <v>940</v>
      </c>
      <c r="C15">
        <f>'Recycle pits'!D25</f>
        <v>20</v>
      </c>
      <c r="D15" t="str">
        <f>'Recycle pits'!E25</f>
        <v>Name removed</v>
      </c>
      <c r="E15" t="str">
        <f>'Recycle pits'!F25</f>
        <v>Cane </v>
      </c>
      <c r="F15">
        <f>'Recycle pits'!G25</f>
        <v>22000</v>
      </c>
      <c r="G15">
        <f>'Recycle pits'!H25</f>
        <v>11000</v>
      </c>
      <c r="H15">
        <f>'Recycle pits'!I25</f>
        <v>11000</v>
      </c>
      <c r="I15" s="552">
        <f>'Recycle pits'!J25</f>
        <v>0.5</v>
      </c>
      <c r="J15" t="str">
        <f>'Recycle pits'!K25</f>
        <v>recycle pit upgrade</v>
      </c>
      <c r="K15" t="str">
        <f>'Recycle pits'!L25</f>
        <v>Lot number removed</v>
      </c>
      <c r="L15">
        <f>'Recycle pits'!O25</f>
        <v>0</v>
      </c>
      <c r="M15">
        <f>'Recycle pits'!P25</f>
        <v>0</v>
      </c>
      <c r="N15" s="563">
        <f>'Recycle pits'!AR25</f>
        <v>152.56876092619765</v>
      </c>
      <c r="O15">
        <f>'Recycle pits'!AS25</f>
        <v>5</v>
      </c>
      <c r="P15">
        <f>'Recycle pits'!AQ25</f>
        <v>0.5</v>
      </c>
      <c r="Q15" s="563">
        <f>'Recycle pits'!AT25</f>
        <v>762.8438046309883</v>
      </c>
      <c r="R15" s="564">
        <f>'Recycle pits'!AY25</f>
        <v>0.5816666666666667</v>
      </c>
      <c r="S15" s="564">
        <f>'Recycle pits'!BA25</f>
        <v>0.01500000000000001</v>
      </c>
      <c r="T15" s="564">
        <f>'Recycle pits'!BC25</f>
        <v>0.010276317235060948</v>
      </c>
      <c r="U15" s="565">
        <f>'Recycle pits'!BD25</f>
        <v>11000</v>
      </c>
      <c r="V15">
        <f>'Recycle pits'!BE25</f>
        <v>9.342106577328135E-07</v>
      </c>
      <c r="W15" s="61">
        <f t="shared" si="2"/>
        <v>0.9342106577328135</v>
      </c>
      <c r="AB15" s="583">
        <f t="shared" si="0"/>
        <v>0.010276317235060948</v>
      </c>
      <c r="AC15" s="668">
        <f t="shared" si="1"/>
        <v>0.9342106577328135</v>
      </c>
      <c r="AD15" s="46">
        <f t="shared" si="3"/>
        <v>24</v>
      </c>
    </row>
    <row r="16" spans="1:30" ht="12.75">
      <c r="A16" t="s">
        <v>31</v>
      </c>
      <c r="B16" t="s">
        <v>940</v>
      </c>
      <c r="C16">
        <f>'Recycle pits'!D26</f>
        <v>21</v>
      </c>
      <c r="D16" t="str">
        <f>'Recycle pits'!E26</f>
        <v>Name removed</v>
      </c>
      <c r="E16" t="str">
        <f>'Recycle pits'!F26</f>
        <v>Cane </v>
      </c>
      <c r="F16">
        <f>'Recycle pits'!G26</f>
        <v>40000</v>
      </c>
      <c r="G16">
        <f>'Recycle pits'!H26</f>
        <v>20000</v>
      </c>
      <c r="H16">
        <f>'Recycle pits'!I26</f>
        <v>20000</v>
      </c>
      <c r="I16" s="552">
        <f>'Recycle pits'!J26</f>
        <v>0.5</v>
      </c>
      <c r="J16" t="str">
        <f>'Recycle pits'!K26</f>
        <v> recycle pit upgrade</v>
      </c>
      <c r="K16" t="str">
        <f>'Recycle pits'!L26</f>
        <v>Lot number removed</v>
      </c>
      <c r="L16">
        <f>'Recycle pits'!O26</f>
        <v>0</v>
      </c>
      <c r="M16">
        <f>'Recycle pits'!P26</f>
        <v>0</v>
      </c>
      <c r="N16" s="563">
        <f>'Recycle pits'!AR26</f>
        <v>30.895407005964827</v>
      </c>
      <c r="O16">
        <f>'Recycle pits'!AS26</f>
        <v>5</v>
      </c>
      <c r="P16">
        <f>'Recycle pits'!AQ26</f>
        <v>0.11203098566076793</v>
      </c>
      <c r="Q16" s="563">
        <f>'Recycle pits'!AT26</f>
        <v>154.47703502982415</v>
      </c>
      <c r="R16" s="564">
        <f>'Recycle pits'!AY26</f>
        <v>0.6708333333333333</v>
      </c>
      <c r="S16" s="564">
        <f>'Recycle pits'!BA26</f>
        <v>0.008035714285714285</v>
      </c>
      <c r="T16" s="564">
        <f>'Recycle pits'!BC26</f>
        <v>0.0020977750892732456</v>
      </c>
      <c r="U16" s="565">
        <f>'Recycle pits'!BD26</f>
        <v>20000</v>
      </c>
      <c r="V16">
        <f>'Recycle pits'!BE26</f>
        <v>1.0488875446366228E-07</v>
      </c>
      <c r="W16" s="61">
        <f t="shared" si="2"/>
        <v>0.10488875446366228</v>
      </c>
      <c r="AB16" s="583">
        <f t="shared" si="0"/>
        <v>0.0020977750892732456</v>
      </c>
      <c r="AC16" s="668">
        <f t="shared" si="1"/>
        <v>0.10488875446366228</v>
      </c>
      <c r="AD16" s="46">
        <f t="shared" si="3"/>
        <v>62</v>
      </c>
    </row>
    <row r="17" spans="1:30" ht="12.75">
      <c r="A17" t="s">
        <v>31</v>
      </c>
      <c r="B17" t="s">
        <v>940</v>
      </c>
      <c r="C17">
        <f>'Recycle pits'!D27</f>
        <v>22</v>
      </c>
      <c r="D17" t="str">
        <f>'Recycle pits'!E27</f>
        <v>Name removed</v>
      </c>
      <c r="E17" t="str">
        <f>'Recycle pits'!F27</f>
        <v>Cane </v>
      </c>
      <c r="F17">
        <f>'Recycle pits'!G27</f>
        <v>45000</v>
      </c>
      <c r="G17">
        <f>'Recycle pits'!H27</f>
        <v>15000</v>
      </c>
      <c r="H17">
        <f>'Recycle pits'!I27</f>
        <v>30000</v>
      </c>
      <c r="I17" s="552">
        <f>'Recycle pits'!J27</f>
        <v>0.6666666666666666</v>
      </c>
      <c r="J17" t="str">
        <f>'Recycle pits'!K27</f>
        <v>Recycle pit</v>
      </c>
      <c r="K17" t="str">
        <f>'Recycle pits'!L27</f>
        <v>Lot number removed</v>
      </c>
      <c r="L17">
        <f>'Recycle pits'!O27</f>
        <v>0</v>
      </c>
      <c r="M17">
        <f>'Recycle pits'!P27</f>
        <v>0</v>
      </c>
      <c r="N17" s="563">
        <f>'Recycle pits'!AR27</f>
        <v>95.11609876826498</v>
      </c>
      <c r="O17">
        <f>'Recycle pits'!AS27</f>
        <v>5</v>
      </c>
      <c r="P17">
        <f>'Recycle pits'!AQ27</f>
        <v>1.05</v>
      </c>
      <c r="Q17" s="563">
        <f>'Recycle pits'!AT27</f>
        <v>475.5804938413249</v>
      </c>
      <c r="R17" s="564">
        <f>'Recycle pits'!AY27</f>
        <v>0.6041666666666666</v>
      </c>
      <c r="S17" s="564">
        <f>'Recycle pits'!BA27</f>
        <v>0.004464285714285714</v>
      </c>
      <c r="T17" s="564">
        <f>'Recycle pits'!BC27</f>
        <v>0.006416817860126804</v>
      </c>
      <c r="U17" s="565">
        <f>'Recycle pits'!BD27</f>
        <v>30000</v>
      </c>
      <c r="V17">
        <f>'Recycle pits'!BE27</f>
        <v>2.1389392867089348E-07</v>
      </c>
      <c r="W17" s="61">
        <f t="shared" si="2"/>
        <v>0.2138939286708935</v>
      </c>
      <c r="AB17" s="583">
        <f t="shared" si="0"/>
        <v>0.006416817860126804</v>
      </c>
      <c r="AC17" s="668">
        <f t="shared" si="1"/>
        <v>0.2138939286708935</v>
      </c>
      <c r="AD17" s="46">
        <f t="shared" si="3"/>
        <v>52</v>
      </c>
    </row>
    <row r="18" spans="1:30" ht="12.75">
      <c r="A18" t="s">
        <v>31</v>
      </c>
      <c r="B18" t="s">
        <v>940</v>
      </c>
      <c r="C18">
        <f>'Recycle pits'!D28</f>
        <v>26</v>
      </c>
      <c r="D18" t="str">
        <f>'Recycle pits'!E28</f>
        <v>Name removed</v>
      </c>
      <c r="E18" t="str">
        <f>'Recycle pits'!F28</f>
        <v>Cane </v>
      </c>
      <c r="F18">
        <f>'Recycle pits'!G28</f>
        <v>35000</v>
      </c>
      <c r="G18">
        <f>'Recycle pits'!H28</f>
        <v>25000</v>
      </c>
      <c r="H18">
        <f>'Recycle pits'!I28</f>
        <v>10000</v>
      </c>
      <c r="I18" s="552">
        <f>'Recycle pits'!J28</f>
        <v>0.2857142857142857</v>
      </c>
      <c r="J18" t="str">
        <f>'Recycle pits'!K28</f>
        <v>Recycle pit</v>
      </c>
      <c r="K18" t="str">
        <f>'Recycle pits'!L28</f>
        <v>Lot number removed</v>
      </c>
      <c r="L18">
        <f>'Recycle pits'!O28</f>
        <v>0</v>
      </c>
      <c r="M18">
        <f>'Recycle pits'!P28</f>
        <v>0</v>
      </c>
      <c r="N18" s="563">
        <f>'Recycle pits'!AR28</f>
        <v>97.82199513304231</v>
      </c>
      <c r="O18">
        <f>'Recycle pits'!AS28</f>
        <v>5</v>
      </c>
      <c r="P18">
        <f>'Recycle pits'!AQ28</f>
        <v>1</v>
      </c>
      <c r="Q18" s="563">
        <f>'Recycle pits'!AT28</f>
        <v>489.10997566521155</v>
      </c>
      <c r="R18" s="564">
        <f>'Recycle pits'!AY28</f>
        <v>0.38308333333333333</v>
      </c>
      <c r="S18" s="564">
        <f>'Recycle pits'!BA28</f>
        <v>0.08285714285714287</v>
      </c>
      <c r="T18" s="564">
        <f>'Recycle pits'!BC28</f>
        <v>0.006487099619265836</v>
      </c>
      <c r="U18" s="565">
        <f>'Recycle pits'!BD28</f>
        <v>10000</v>
      </c>
      <c r="V18">
        <f>'Recycle pits'!BE28</f>
        <v>6.487099619265836E-07</v>
      </c>
      <c r="W18" s="61">
        <f t="shared" si="2"/>
        <v>0.6487099619265836</v>
      </c>
      <c r="AB18" s="583">
        <f t="shared" si="0"/>
        <v>0.006487099619265836</v>
      </c>
      <c r="AC18" s="668">
        <f t="shared" si="1"/>
        <v>0.6487099619265836</v>
      </c>
      <c r="AD18" s="46">
        <f t="shared" si="3"/>
        <v>30</v>
      </c>
    </row>
    <row r="19" spans="1:30" ht="12.75">
      <c r="A19" t="s">
        <v>31</v>
      </c>
      <c r="B19" t="s">
        <v>940</v>
      </c>
      <c r="C19">
        <f>'Recycle pits'!D29</f>
        <v>27</v>
      </c>
      <c r="D19" t="str">
        <f>'Recycle pits'!E29</f>
        <v>Name removed</v>
      </c>
      <c r="E19" t="str">
        <f>'Recycle pits'!F29</f>
        <v>Cane </v>
      </c>
      <c r="F19">
        <f>'Recycle pits'!G29</f>
        <v>150000</v>
      </c>
      <c r="G19">
        <f>'Recycle pits'!H29</f>
        <v>75000</v>
      </c>
      <c r="H19">
        <f>'Recycle pits'!I29</f>
        <v>75000</v>
      </c>
      <c r="I19" s="552">
        <f>'Recycle pits'!J29</f>
        <v>0.5</v>
      </c>
      <c r="J19" t="str">
        <f>'Recycle pits'!K29</f>
        <v>recycle pit extension </v>
      </c>
      <c r="K19" t="str">
        <f>'Recycle pits'!L29</f>
        <v>Lot number removed</v>
      </c>
      <c r="L19">
        <f>'Recycle pits'!O29</f>
        <v>0</v>
      </c>
      <c r="M19">
        <f>'Recycle pits'!P29</f>
        <v>0</v>
      </c>
      <c r="N19" s="563">
        <f>'Recycle pits'!AR29</f>
        <v>0</v>
      </c>
      <c r="O19">
        <f>'Recycle pits'!AS29</f>
        <v>5</v>
      </c>
      <c r="P19">
        <f>'Recycle pits'!AQ29</f>
        <v>0</v>
      </c>
      <c r="Q19" s="563">
        <f>'Recycle pits'!AT29</f>
        <v>0</v>
      </c>
      <c r="R19" s="564">
        <f>'Recycle pits'!AY29</f>
        <v>0.7845833333333334</v>
      </c>
      <c r="S19" s="564">
        <f>'Recycle pits'!BA29</f>
        <v>0.0035714285714285713</v>
      </c>
      <c r="T19" s="564">
        <f>'Recycle pits'!BC29</f>
        <v>0</v>
      </c>
      <c r="U19" s="565">
        <f>'Recycle pits'!BD29</f>
        <v>75000</v>
      </c>
      <c r="V19">
        <f>'Recycle pits'!BE29</f>
        <v>0</v>
      </c>
      <c r="W19" s="61">
        <f t="shared" si="2"/>
        <v>0</v>
      </c>
      <c r="AB19" s="583">
        <f t="shared" si="0"/>
        <v>0</v>
      </c>
      <c r="AC19" s="668">
        <f t="shared" si="1"/>
        <v>0</v>
      </c>
      <c r="AD19" s="46">
        <f t="shared" si="3"/>
        <v>87</v>
      </c>
    </row>
    <row r="20" spans="1:30" ht="12.75">
      <c r="A20" t="s">
        <v>31</v>
      </c>
      <c r="B20" t="s">
        <v>940</v>
      </c>
      <c r="C20">
        <f>'Recycle pits'!D30</f>
        <v>32</v>
      </c>
      <c r="D20" t="str">
        <f>'Recycle pits'!E30</f>
        <v>Name removed</v>
      </c>
      <c r="E20" t="str">
        <f>'Recycle pits'!F30</f>
        <v>Cane </v>
      </c>
      <c r="F20">
        <f>'Recycle pits'!G30</f>
        <v>6000</v>
      </c>
      <c r="G20">
        <f>'Recycle pits'!H30</f>
        <v>0</v>
      </c>
      <c r="H20">
        <f>'Recycle pits'!I30</f>
        <v>6000</v>
      </c>
      <c r="I20" s="552">
        <f>'Recycle pits'!J30</f>
        <v>1</v>
      </c>
      <c r="J20" t="str">
        <f>'Recycle pits'!K30</f>
        <v>Recycle Pit upgrade</v>
      </c>
      <c r="K20" t="str">
        <f>'Recycle pits'!L30</f>
        <v>Lot number removed</v>
      </c>
      <c r="L20">
        <f>'Recycle pits'!O30</f>
        <v>0</v>
      </c>
      <c r="M20">
        <f>'Recycle pits'!P30</f>
        <v>0</v>
      </c>
      <c r="N20" s="563">
        <f>'Recycle pits'!AR30</f>
        <v>22.38496588215613</v>
      </c>
      <c r="O20">
        <f>'Recycle pits'!AS30</f>
        <v>5</v>
      </c>
      <c r="P20">
        <f>'Recycle pits'!AQ30</f>
        <v>0.2197224577336221</v>
      </c>
      <c r="Q20" s="563">
        <f>'Recycle pits'!AT30</f>
        <v>111.92482941078066</v>
      </c>
      <c r="R20" s="564">
        <f>'Recycle pits'!AY30</f>
        <v>0.36833333333333335</v>
      </c>
      <c r="S20" s="564">
        <f>'Recycle pits'!BA30</f>
        <v>0.39375000000000004</v>
      </c>
      <c r="T20" s="564">
        <f>'Recycle pits'!BC30</f>
        <v>0.0015053056485096882</v>
      </c>
      <c r="U20" s="565">
        <f>'Recycle pits'!BD30</f>
        <v>6000</v>
      </c>
      <c r="V20">
        <f>'Recycle pits'!BE30</f>
        <v>2.508842747516147E-07</v>
      </c>
      <c r="W20" s="61">
        <f t="shared" si="2"/>
        <v>0.25088427475161473</v>
      </c>
      <c r="AB20" s="583">
        <f t="shared" si="0"/>
        <v>0.0015053056485096882</v>
      </c>
      <c r="AC20" s="668">
        <f t="shared" si="1"/>
        <v>0.25088427475161473</v>
      </c>
      <c r="AD20" s="46">
        <f t="shared" si="3"/>
        <v>50</v>
      </c>
    </row>
    <row r="21" spans="1:30" ht="12.75">
      <c r="A21" t="s">
        <v>31</v>
      </c>
      <c r="B21" t="s">
        <v>940</v>
      </c>
      <c r="C21">
        <f>'Recycle pits'!D31</f>
        <v>33</v>
      </c>
      <c r="D21" t="str">
        <f>'Recycle pits'!E31</f>
        <v>Name removed</v>
      </c>
      <c r="E21" t="str">
        <f>'Recycle pits'!F31</f>
        <v>Cane </v>
      </c>
      <c r="F21">
        <f>'Recycle pits'!G31</f>
        <v>213500</v>
      </c>
      <c r="G21">
        <f>'Recycle pits'!H31</f>
        <v>125000</v>
      </c>
      <c r="H21">
        <f>'Recycle pits'!I31</f>
        <v>88500</v>
      </c>
      <c r="I21" s="552">
        <f>'Recycle pits'!J31</f>
        <v>0.41451990632318503</v>
      </c>
      <c r="J21" t="str">
        <f>'Recycle pits'!K31</f>
        <v>Recycle pit</v>
      </c>
      <c r="K21" t="str">
        <f>'Recycle pits'!L31</f>
        <v>Lot number removed</v>
      </c>
      <c r="L21">
        <f>'Recycle pits'!O31</f>
        <v>0</v>
      </c>
      <c r="M21">
        <f>'Recycle pits'!P31</f>
        <v>0</v>
      </c>
      <c r="N21" s="563">
        <f>'Recycle pits'!AR31</f>
        <v>292.77845781255274</v>
      </c>
      <c r="O21">
        <f>'Recycle pits'!AS31</f>
        <v>5</v>
      </c>
      <c r="P21">
        <f>'Recycle pits'!AQ31</f>
        <v>1</v>
      </c>
      <c r="Q21" s="563">
        <f>'Recycle pits'!AT31</f>
        <v>1463.8922890627637</v>
      </c>
      <c r="R21" s="564">
        <f>'Recycle pits'!AY31</f>
        <v>0.37</v>
      </c>
      <c r="S21" s="564">
        <f>'Recycle pits'!BA31</f>
        <v>0.0437142857142857</v>
      </c>
      <c r="T21" s="564">
        <f>'Recycle pits'!BC31</f>
        <v>0.01935344537727679</v>
      </c>
      <c r="U21" s="565">
        <f>'Recycle pits'!BD31</f>
        <v>88500</v>
      </c>
      <c r="V21">
        <f>'Recycle pits'!BE31</f>
        <v>2.1868299861329706E-07</v>
      </c>
      <c r="W21" s="61">
        <f t="shared" si="2"/>
        <v>0.21868299861329707</v>
      </c>
      <c r="AB21" s="583">
        <f t="shared" si="0"/>
        <v>0.01935344537727679</v>
      </c>
      <c r="AC21" s="668">
        <f t="shared" si="1"/>
        <v>0.21868299861329707</v>
      </c>
      <c r="AD21" s="46">
        <f t="shared" si="3"/>
        <v>51</v>
      </c>
    </row>
    <row r="22" spans="1:30" ht="12.75">
      <c r="A22" t="s">
        <v>31</v>
      </c>
      <c r="B22" t="s">
        <v>940</v>
      </c>
      <c r="C22">
        <f>'Recycle pits'!D32</f>
        <v>34</v>
      </c>
      <c r="D22" t="str">
        <f>'Recycle pits'!E32</f>
        <v>Name removed</v>
      </c>
      <c r="E22" t="str">
        <f>'Recycle pits'!F32</f>
        <v>Cane </v>
      </c>
      <c r="F22">
        <f>'Recycle pits'!G32</f>
        <v>60000</v>
      </c>
      <c r="G22">
        <f>'Recycle pits'!H32</f>
        <v>15000</v>
      </c>
      <c r="H22">
        <f>'Recycle pits'!I32</f>
        <v>45000</v>
      </c>
      <c r="I22" s="552">
        <f>'Recycle pits'!J32</f>
        <v>0.75</v>
      </c>
      <c r="J22" t="str">
        <f>'Recycle pits'!K32</f>
        <v>Recycle pit</v>
      </c>
      <c r="K22" t="str">
        <f>'Recycle pits'!L32</f>
        <v>Lot number removed</v>
      </c>
      <c r="L22">
        <f>'Recycle pits'!O32</f>
        <v>0</v>
      </c>
      <c r="M22">
        <f>'Recycle pits'!P32</f>
        <v>0</v>
      </c>
      <c r="N22" s="563">
        <f>'Recycle pits'!AR32</f>
        <v>52.058083986206896</v>
      </c>
      <c r="O22">
        <f>'Recycle pits'!AS32</f>
        <v>5</v>
      </c>
      <c r="P22">
        <f>'Recycle pits'!AQ32</f>
        <v>1</v>
      </c>
      <c r="Q22" s="563">
        <f>'Recycle pits'!AT32</f>
        <v>260.2904199310345</v>
      </c>
      <c r="R22" s="564">
        <f>'Recycle pits'!AY32</f>
        <v>0.4841666666666667</v>
      </c>
      <c r="S22" s="564">
        <f>'Recycle pits'!BA32</f>
        <v>0.0057142857142857195</v>
      </c>
      <c r="T22" s="564">
        <f>'Recycle pits'!BC32</f>
        <v>0.0034724689454892926</v>
      </c>
      <c r="U22" s="565">
        <f>'Recycle pits'!BD32</f>
        <v>45000</v>
      </c>
      <c r="V22">
        <f>'Recycle pits'!BE32</f>
        <v>7.716597656642873E-08</v>
      </c>
      <c r="W22" s="61">
        <f t="shared" si="2"/>
        <v>0.07716597656642873</v>
      </c>
      <c r="AB22" s="583">
        <f t="shared" si="0"/>
        <v>0.0034724689454892926</v>
      </c>
      <c r="AC22" s="668">
        <f t="shared" si="1"/>
        <v>0.07716597656642873</v>
      </c>
      <c r="AD22" s="46">
        <f t="shared" si="3"/>
        <v>69</v>
      </c>
    </row>
    <row r="23" spans="1:30" ht="12.75">
      <c r="A23" t="s">
        <v>31</v>
      </c>
      <c r="B23" t="s">
        <v>940</v>
      </c>
      <c r="C23">
        <f>'Recycle pits'!D33</f>
        <v>36</v>
      </c>
      <c r="D23" t="str">
        <f>'Recycle pits'!E33</f>
        <v>Name removed</v>
      </c>
      <c r="E23" t="str">
        <f>'Recycle pits'!F33</f>
        <v>Cane </v>
      </c>
      <c r="F23">
        <f>'Recycle pits'!G33</f>
        <v>40000</v>
      </c>
      <c r="G23">
        <f>'Recycle pits'!H33</f>
        <v>20000</v>
      </c>
      <c r="H23">
        <f>'Recycle pits'!I33</f>
        <v>20000</v>
      </c>
      <c r="I23" s="552">
        <f>'Recycle pits'!J33</f>
        <v>0.5</v>
      </c>
      <c r="J23" t="str">
        <f>'Recycle pits'!K33</f>
        <v>Recycle pit extension</v>
      </c>
      <c r="K23" t="str">
        <f>'Recycle pits'!L33</f>
        <v>Lot number removed</v>
      </c>
      <c r="L23">
        <f>'Recycle pits'!O33</f>
        <v>0</v>
      </c>
      <c r="M23">
        <f>'Recycle pits'!P33</f>
        <v>0</v>
      </c>
      <c r="N23" s="563">
        <f>'Recycle pits'!AR33</f>
        <v>25.7459926358929</v>
      </c>
      <c r="O23">
        <f>'Recycle pits'!AS33</f>
        <v>5</v>
      </c>
      <c r="P23">
        <f>'Recycle pits'!AQ33</f>
        <v>0.13862943611198897</v>
      </c>
      <c r="Q23" s="563">
        <f>'Recycle pits'!AT33</f>
        <v>128.7299631794645</v>
      </c>
      <c r="R23" s="564">
        <f>'Recycle pits'!AY33</f>
        <v>0.42083333333333334</v>
      </c>
      <c r="S23" s="564">
        <f>'Recycle pits'!BA33</f>
        <v>0.03446428571428568</v>
      </c>
      <c r="T23" s="564">
        <f>'Recycle pits'!BC33</f>
        <v>0.0017094328171777767</v>
      </c>
      <c r="U23" s="565">
        <f>'Recycle pits'!BD33</f>
        <v>20000</v>
      </c>
      <c r="V23">
        <f>'Recycle pits'!BE33</f>
        <v>8.547164085888883E-08</v>
      </c>
      <c r="W23" s="61">
        <f t="shared" si="2"/>
        <v>0.08547164085888884</v>
      </c>
      <c r="X23" t="str">
        <f>'Nutrient management'!J27</f>
        <v>EM mapping </v>
      </c>
      <c r="Y23" t="s">
        <v>177</v>
      </c>
      <c r="Z23" s="585">
        <f>'Nutrient management'!AY27*0.5</f>
        <v>78.84041066379346</v>
      </c>
      <c r="AA23">
        <f>'Nutrient management'!BH27*0.5</f>
        <v>0.0010407964719285373</v>
      </c>
      <c r="AB23" s="583">
        <f t="shared" si="0"/>
        <v>0.0027502292891063143</v>
      </c>
      <c r="AC23" s="668">
        <f t="shared" si="1"/>
        <v>0.1375114644553157</v>
      </c>
      <c r="AD23" s="46">
        <f t="shared" si="3"/>
        <v>59</v>
      </c>
    </row>
    <row r="24" spans="1:30" ht="12.75">
      <c r="A24" t="s">
        <v>31</v>
      </c>
      <c r="B24" t="s">
        <v>940</v>
      </c>
      <c r="C24">
        <f>'Recycle pits'!D34</f>
        <v>37</v>
      </c>
      <c r="D24" t="str">
        <f>'Recycle pits'!E34</f>
        <v>Name removed</v>
      </c>
      <c r="E24" t="str">
        <f>'Recycle pits'!F34</f>
        <v>Cane </v>
      </c>
      <c r="F24">
        <f>'Recycle pits'!G34</f>
        <v>94900</v>
      </c>
      <c r="G24">
        <f>'Recycle pits'!H34</f>
        <v>50000</v>
      </c>
      <c r="H24">
        <f>'Recycle pits'!I34</f>
        <v>44900</v>
      </c>
      <c r="I24" s="552">
        <f>'Recycle pits'!J34</f>
        <v>0.4731296101159115</v>
      </c>
      <c r="J24" t="str">
        <f>'Recycle pits'!K34</f>
        <v>Recycle pit</v>
      </c>
      <c r="K24" t="str">
        <f>'Recycle pits'!L34</f>
        <v>Lot number removed</v>
      </c>
      <c r="L24">
        <f>'Recycle pits'!O34</f>
        <v>0</v>
      </c>
      <c r="M24">
        <f>'Recycle pits'!P34</f>
        <v>0</v>
      </c>
      <c r="N24" s="563">
        <f>'Recycle pits'!AR34</f>
        <v>1042.0322025533255</v>
      </c>
      <c r="O24">
        <f>'Recycle pits'!AS34</f>
        <v>5</v>
      </c>
      <c r="P24">
        <f>'Recycle pits'!AQ34</f>
        <v>1</v>
      </c>
      <c r="Q24" s="563">
        <f>'Recycle pits'!AT34</f>
        <v>5210.161012766628</v>
      </c>
      <c r="R24" s="564">
        <f>'Recycle pits'!AY34</f>
        <v>0.26083333333333336</v>
      </c>
      <c r="S24" s="564">
        <f>'Recycle pits'!BA34</f>
        <v>0.04375</v>
      </c>
      <c r="T24" s="564">
        <f>'Recycle pits'!BC34</f>
        <v>0.06815613642125581</v>
      </c>
      <c r="U24" s="565">
        <f>'Recycle pits'!BD34</f>
        <v>44900</v>
      </c>
      <c r="V24">
        <f>'Recycle pits'!BE34</f>
        <v>1.5179540405624903E-06</v>
      </c>
      <c r="W24" s="61">
        <f t="shared" si="2"/>
        <v>1.5179540405624903</v>
      </c>
      <c r="X24" t="str">
        <f>'Nutrient management'!J28</f>
        <v>EM mapping </v>
      </c>
      <c r="Y24" t="s">
        <v>177</v>
      </c>
      <c r="Z24" s="585">
        <f>'Nutrient management'!AY28*0.5</f>
        <v>150.18840247844855</v>
      </c>
      <c r="AA24">
        <f>'Nutrient management'!BH28*0.5</f>
        <v>0.0020064156239203196</v>
      </c>
      <c r="AB24" s="583">
        <f t="shared" si="0"/>
        <v>0.07016255204517613</v>
      </c>
      <c r="AC24" s="668">
        <f t="shared" si="1"/>
        <v>1.5626403573535887</v>
      </c>
      <c r="AD24" s="46">
        <f t="shared" si="3"/>
        <v>17</v>
      </c>
    </row>
    <row r="25" spans="1:30" ht="12.75">
      <c r="A25" t="s">
        <v>31</v>
      </c>
      <c r="B25" t="s">
        <v>940</v>
      </c>
      <c r="C25">
        <f>'Recycle pits'!D35</f>
        <v>41</v>
      </c>
      <c r="D25" t="str">
        <f>'Recycle pits'!E35</f>
        <v>Name removed</v>
      </c>
      <c r="E25" t="str">
        <f>'Recycle pits'!F35</f>
        <v>Cane </v>
      </c>
      <c r="F25">
        <f>'Recycle pits'!G35</f>
        <v>222476</v>
      </c>
      <c r="G25">
        <f>'Recycle pits'!H35</f>
        <v>120385</v>
      </c>
      <c r="H25">
        <f>'Recycle pits'!I35</f>
        <v>102091</v>
      </c>
      <c r="I25" s="552">
        <f>'Recycle pits'!J35</f>
        <v>0.4588854528128877</v>
      </c>
      <c r="J25" t="str">
        <f>'Recycle pits'!K35</f>
        <v>Recycle pit</v>
      </c>
      <c r="K25" t="str">
        <f>'Recycle pits'!L35</f>
        <v>Lot number removed</v>
      </c>
      <c r="L25">
        <f>'Recycle pits'!O35</f>
        <v>0</v>
      </c>
      <c r="M25">
        <f>'Recycle pits'!P35</f>
        <v>0</v>
      </c>
      <c r="N25" s="563">
        <f>'Recycle pits'!AR35</f>
        <v>96.31070809048299</v>
      </c>
      <c r="O25">
        <f>'Recycle pits'!AS35</f>
        <v>5</v>
      </c>
      <c r="P25">
        <f>'Recycle pits'!AQ35</f>
        <v>1</v>
      </c>
      <c r="Q25" s="563">
        <f>'Recycle pits'!AT35</f>
        <v>481.55354045241495</v>
      </c>
      <c r="R25" s="564">
        <f>'Recycle pits'!AY35</f>
        <v>0.37625000000000003</v>
      </c>
      <c r="S25" s="564">
        <f>'Recycle pits'!BA35</f>
        <v>0.010714285714285714</v>
      </c>
      <c r="T25" s="564">
        <f>'Recycle pits'!BC35</f>
        <v>0.006359746518718274</v>
      </c>
      <c r="U25" s="565">
        <f>'Recycle pits'!BD35</f>
        <v>102091</v>
      </c>
      <c r="V25">
        <f>'Recycle pits'!BE35</f>
        <v>6.229487926181812E-08</v>
      </c>
      <c r="W25" s="61">
        <f t="shared" si="2"/>
        <v>0.06229487926181812</v>
      </c>
      <c r="AB25" s="583">
        <f t="shared" si="0"/>
        <v>0.006359746518718274</v>
      </c>
      <c r="AC25" s="668">
        <f t="shared" si="1"/>
        <v>0.06229487926181812</v>
      </c>
      <c r="AD25" s="46">
        <f t="shared" si="3"/>
        <v>70</v>
      </c>
    </row>
    <row r="26" spans="1:30" ht="12.75">
      <c r="A26" t="s">
        <v>31</v>
      </c>
      <c r="B26" t="s">
        <v>940</v>
      </c>
      <c r="C26">
        <f>'Recycle pits'!D36</f>
        <v>42</v>
      </c>
      <c r="D26" t="str">
        <f>'Recycle pits'!E36</f>
        <v>Name removed</v>
      </c>
      <c r="E26" t="str">
        <f>'Recycle pits'!F36</f>
        <v>Cane </v>
      </c>
      <c r="F26">
        <f>'Recycle pits'!G36</f>
        <v>10000</v>
      </c>
      <c r="G26">
        <f>'Recycle pits'!H36</f>
        <v>5000</v>
      </c>
      <c r="H26">
        <f>'Recycle pits'!I36</f>
        <v>5000</v>
      </c>
      <c r="I26" s="552">
        <f>'Recycle pits'!J36</f>
        <v>0.5</v>
      </c>
      <c r="J26" t="str">
        <f>'Recycle pits'!K36</f>
        <v>Recycle pit</v>
      </c>
      <c r="K26" t="str">
        <f>'Recycle pits'!L36</f>
        <v>Lot number removed</v>
      </c>
      <c r="L26">
        <f>'Recycle pits'!O36</f>
        <v>0</v>
      </c>
      <c r="M26">
        <f>'Recycle pits'!P36</f>
        <v>0</v>
      </c>
      <c r="N26" s="563">
        <f>'Recycle pits'!AR36</f>
        <v>29.855601819511854</v>
      </c>
      <c r="O26">
        <f>'Recycle pits'!AS36</f>
        <v>5</v>
      </c>
      <c r="P26">
        <f>'Recycle pits'!AQ36</f>
        <v>0.02</v>
      </c>
      <c r="Q26" s="563">
        <f>'Recycle pits'!AT36</f>
        <v>149.27800909755928</v>
      </c>
      <c r="R26" s="564">
        <f>'Recycle pits'!AY36</f>
        <v>0.5166666666666667</v>
      </c>
      <c r="S26" s="564">
        <f>'Recycle pits'!BA36</f>
        <v>0.38785714285714284</v>
      </c>
      <c r="T26" s="564">
        <f>'Recycle pits'!BC36</f>
        <v>0.002035812295802365</v>
      </c>
      <c r="U26" s="565">
        <f>'Recycle pits'!BD36</f>
        <v>5000</v>
      </c>
      <c r="V26">
        <f>'Recycle pits'!BE36</f>
        <v>4.0716245916047296E-07</v>
      </c>
      <c r="W26" s="61">
        <f t="shared" si="2"/>
        <v>0.40716245916047294</v>
      </c>
      <c r="AB26" s="583">
        <f t="shared" si="0"/>
        <v>0.002035812295802365</v>
      </c>
      <c r="AC26" s="668">
        <f t="shared" si="1"/>
        <v>0.40716245916047294</v>
      </c>
      <c r="AD26" s="46">
        <f t="shared" si="3"/>
        <v>37</v>
      </c>
    </row>
    <row r="27" spans="1:30" ht="12.75">
      <c r="A27" t="s">
        <v>31</v>
      </c>
      <c r="B27" t="s">
        <v>940</v>
      </c>
      <c r="C27">
        <f>'Recycle pits'!D37</f>
        <v>46</v>
      </c>
      <c r="D27" t="str">
        <f>'Recycle pits'!E37</f>
        <v>Name removed</v>
      </c>
      <c r="E27" t="str">
        <f>'Recycle pits'!F37</f>
        <v>Cane </v>
      </c>
      <c r="F27">
        <f>'Recycle pits'!G37</f>
        <v>5000</v>
      </c>
      <c r="G27">
        <f>'Recycle pits'!H37</f>
        <v>0</v>
      </c>
      <c r="H27">
        <f>'Recycle pits'!I37</f>
        <v>5000</v>
      </c>
      <c r="I27" s="552">
        <f>'Recycle pits'!J37</f>
        <v>1</v>
      </c>
      <c r="J27" t="str">
        <f>'Recycle pits'!K37</f>
        <v>Recycle pit</v>
      </c>
      <c r="K27" t="str">
        <f>'Recycle pits'!L37</f>
        <v>Lot number removed</v>
      </c>
      <c r="L27">
        <f>'Recycle pits'!O37</f>
        <v>0</v>
      </c>
      <c r="M27">
        <f>'Recycle pits'!P37</f>
        <v>0</v>
      </c>
      <c r="N27" s="563">
        <f>'Recycle pits'!AR37</f>
        <v>30.113320064032408</v>
      </c>
      <c r="O27">
        <f>'Recycle pits'!AS37</f>
        <v>5</v>
      </c>
      <c r="P27">
        <f>'Recycle pits'!AQ37</f>
        <v>1</v>
      </c>
      <c r="Q27" s="563">
        <f>'Recycle pits'!AT37</f>
        <v>150.56660032016202</v>
      </c>
      <c r="R27" s="564">
        <f>'Recycle pits'!AY37</f>
        <v>0.22041666666666668</v>
      </c>
      <c r="S27" s="564">
        <f>'Recycle pits'!BA37</f>
        <v>0.0057142857142857195</v>
      </c>
      <c r="T27" s="564">
        <f>'Recycle pits'!BC37</f>
        <v>0.0019581389947246567</v>
      </c>
      <c r="U27" s="565">
        <f>'Recycle pits'!BD37</f>
        <v>5000</v>
      </c>
      <c r="V27">
        <f>'Recycle pits'!BE37</f>
        <v>3.9162779894493135E-07</v>
      </c>
      <c r="W27" s="61">
        <f t="shared" si="2"/>
        <v>0.3916277989449313</v>
      </c>
      <c r="AB27" s="583">
        <f t="shared" si="0"/>
        <v>0.0019581389947246567</v>
      </c>
      <c r="AC27" s="668">
        <f t="shared" si="1"/>
        <v>0.3916277989449313</v>
      </c>
      <c r="AD27" s="46">
        <f t="shared" si="3"/>
        <v>39</v>
      </c>
    </row>
    <row r="28" spans="1:30" ht="12.75">
      <c r="A28" t="s">
        <v>31</v>
      </c>
      <c r="B28" t="s">
        <v>940</v>
      </c>
      <c r="C28">
        <f>'Recycle pits'!D38</f>
        <v>48</v>
      </c>
      <c r="D28" t="str">
        <f>'Recycle pits'!E38</f>
        <v>Name removed</v>
      </c>
      <c r="E28" t="str">
        <f>'Recycle pits'!F38</f>
        <v>Cane </v>
      </c>
      <c r="F28">
        <f>'Recycle pits'!G38</f>
        <v>14000</v>
      </c>
      <c r="G28">
        <f>'Recycle pits'!H38</f>
        <v>9000</v>
      </c>
      <c r="H28">
        <f>'Recycle pits'!I38</f>
        <v>5000</v>
      </c>
      <c r="I28" s="552">
        <f>'Recycle pits'!J38</f>
        <v>0.35714285714285715</v>
      </c>
      <c r="J28" t="str">
        <f>'Recycle pits'!K38</f>
        <v>Recycle pit extension</v>
      </c>
      <c r="K28" t="str">
        <f>'Recycle pits'!L38</f>
        <v>Lot number removed</v>
      </c>
      <c r="L28">
        <f>'Recycle pits'!O38</f>
        <v>0</v>
      </c>
      <c r="M28">
        <f>'Recycle pits'!P38</f>
        <v>0</v>
      </c>
      <c r="N28" s="563">
        <f>'Recycle pits'!AR38</f>
        <v>7.20930282356885</v>
      </c>
      <c r="O28">
        <f>'Recycle pits'!AS38</f>
        <v>5</v>
      </c>
      <c r="P28">
        <f>'Recycle pits'!AQ38</f>
        <v>0.11755733298042392</v>
      </c>
      <c r="Q28" s="563">
        <f>'Recycle pits'!AT38</f>
        <v>36.04651411784425</v>
      </c>
      <c r="R28" s="564">
        <f>'Recycle pits'!AY38</f>
        <v>0.11624999999999999</v>
      </c>
      <c r="S28" s="564">
        <f>'Recycle pits'!BA38</f>
        <v>0.0010714285714285739</v>
      </c>
      <c r="T28" s="564">
        <f>'Recycle pits'!BC38</f>
        <v>0.0004639041897510604</v>
      </c>
      <c r="U28" s="565">
        <f>'Recycle pits'!BD38</f>
        <v>5000</v>
      </c>
      <c r="V28">
        <f>'Recycle pits'!BE38</f>
        <v>9.278083795021209E-08</v>
      </c>
      <c r="W28" s="61">
        <f t="shared" si="2"/>
        <v>0.0927808379502121</v>
      </c>
      <c r="AB28" s="583">
        <f t="shared" si="0"/>
        <v>0.0004639041897510604</v>
      </c>
      <c r="AC28" s="668">
        <f t="shared" si="1"/>
        <v>0.0927808379502121</v>
      </c>
      <c r="AD28" s="46">
        <f t="shared" si="3"/>
        <v>64</v>
      </c>
    </row>
    <row r="29" spans="1:30" ht="12.75">
      <c r="A29" t="s">
        <v>31</v>
      </c>
      <c r="B29" t="s">
        <v>940</v>
      </c>
      <c r="C29">
        <f>'Recycle pits'!D39</f>
        <v>51</v>
      </c>
      <c r="D29" t="str">
        <f>'Recycle pits'!E39</f>
        <v>Name removed</v>
      </c>
      <c r="E29" t="str">
        <f>'Recycle pits'!F39</f>
        <v>Cane </v>
      </c>
      <c r="F29">
        <f>'Recycle pits'!G39</f>
        <v>250000</v>
      </c>
      <c r="G29">
        <f>'Recycle pits'!H39</f>
        <v>215000</v>
      </c>
      <c r="H29">
        <f>'Recycle pits'!I39</f>
        <v>35000</v>
      </c>
      <c r="I29" s="552">
        <f>'Recycle pits'!J39</f>
        <v>0.14</v>
      </c>
      <c r="J29" t="str">
        <f>'Recycle pits'!K39</f>
        <v>Recycle pit</v>
      </c>
      <c r="K29" t="str">
        <f>'Recycle pits'!L39</f>
        <v>Lot number removed</v>
      </c>
      <c r="L29">
        <f>'Recycle pits'!O39</f>
        <v>0</v>
      </c>
      <c r="M29">
        <f>'Recycle pits'!P39</f>
        <v>0</v>
      </c>
      <c r="N29" s="563">
        <f>'Recycle pits'!AR39</f>
        <v>920.1306146829094</v>
      </c>
      <c r="O29">
        <f>'Recycle pits'!AS39</f>
        <v>5</v>
      </c>
      <c r="P29">
        <f>'Recycle pits'!AQ39</f>
        <v>1</v>
      </c>
      <c r="Q29" s="563">
        <f>'Recycle pits'!AT39</f>
        <v>4600.653073414547</v>
      </c>
      <c r="R29" s="564">
        <f>'Recycle pits'!AY39</f>
        <v>0.22333333333333333</v>
      </c>
      <c r="S29" s="564">
        <f>'Recycle pits'!BA39</f>
        <v>0.0021428571428571477</v>
      </c>
      <c r="T29" s="564">
        <f>'Recycle pits'!BC39</f>
        <v>0.0598385056338216</v>
      </c>
      <c r="U29" s="565">
        <f>'Recycle pits'!BD39</f>
        <v>35000</v>
      </c>
      <c r="V29">
        <f>'Recycle pits'!BE39</f>
        <v>1.70967158953776E-06</v>
      </c>
      <c r="W29" s="61">
        <f t="shared" si="2"/>
        <v>1.7096715895377599</v>
      </c>
      <c r="AB29" s="583">
        <f t="shared" si="0"/>
        <v>0.0598385056338216</v>
      </c>
      <c r="AC29" s="668">
        <f t="shared" si="1"/>
        <v>1.7096715895377599</v>
      </c>
      <c r="AD29" s="46">
        <f t="shared" si="3"/>
        <v>16</v>
      </c>
    </row>
    <row r="30" spans="1:30" ht="12.75">
      <c r="A30" t="s">
        <v>31</v>
      </c>
      <c r="B30" t="s">
        <v>940</v>
      </c>
      <c r="C30">
        <f>'Recycle pits'!D40</f>
        <v>52</v>
      </c>
      <c r="D30" t="str">
        <f>'Recycle pits'!E40</f>
        <v>Name removed</v>
      </c>
      <c r="E30" t="str">
        <f>'Recycle pits'!F40</f>
        <v>Cane </v>
      </c>
      <c r="F30">
        <f>'Recycle pits'!G40</f>
        <v>12400</v>
      </c>
      <c r="G30">
        <f>'Recycle pits'!H40</f>
        <v>4000</v>
      </c>
      <c r="H30">
        <f>'Recycle pits'!I40</f>
        <v>8400</v>
      </c>
      <c r="I30" s="552">
        <f>'Recycle pits'!J40</f>
        <v>0.6774193548387096</v>
      </c>
      <c r="J30" t="str">
        <f>'Recycle pits'!K40</f>
        <v>Recycle pit</v>
      </c>
      <c r="K30" t="str">
        <f>'Recycle pits'!L40</f>
        <v>Lot number removed</v>
      </c>
      <c r="L30">
        <f>'Recycle pits'!O40</f>
        <v>0</v>
      </c>
      <c r="M30">
        <f>'Recycle pits'!P40</f>
        <v>0</v>
      </c>
      <c r="N30" s="563">
        <f>'Recycle pits'!AR40</f>
        <v>861.646434632261</v>
      </c>
      <c r="O30">
        <f>'Recycle pits'!AS40</f>
        <v>5</v>
      </c>
      <c r="P30">
        <f>'Recycle pits'!AQ40</f>
        <v>1</v>
      </c>
      <c r="Q30" s="563">
        <f>'Recycle pits'!AT40</f>
        <v>4308.232173161306</v>
      </c>
      <c r="R30" s="564">
        <f>'Recycle pits'!AY40</f>
        <v>0.35083333333333333</v>
      </c>
      <c r="S30" s="564">
        <f>'Recycle pits'!BA40</f>
        <v>0.009285714285714286</v>
      </c>
      <c r="T30" s="564">
        <f>'Recycle pits'!BC40</f>
        <v>0.056754226493854594</v>
      </c>
      <c r="U30" s="565">
        <f>'Recycle pits'!BD40</f>
        <v>8400</v>
      </c>
      <c r="V30">
        <f>'Recycle pits'!BE40</f>
        <v>6.75645553498269E-06</v>
      </c>
      <c r="W30" s="61">
        <f t="shared" si="2"/>
        <v>6.75645553498269</v>
      </c>
      <c r="AB30" s="583">
        <f t="shared" si="0"/>
        <v>0.056754226493854594</v>
      </c>
      <c r="AC30" s="668">
        <f t="shared" si="1"/>
        <v>6.75645553498269</v>
      </c>
      <c r="AD30" s="46">
        <f t="shared" si="3"/>
        <v>7</v>
      </c>
    </row>
    <row r="31" spans="1:30" ht="12.75">
      <c r="A31" t="s">
        <v>31</v>
      </c>
      <c r="B31" t="s">
        <v>940</v>
      </c>
      <c r="C31">
        <f>'Recycle pits'!D41</f>
        <v>53</v>
      </c>
      <c r="D31" t="str">
        <f>'Recycle pits'!E41</f>
        <v>Name removed</v>
      </c>
      <c r="E31" t="str">
        <f>'Recycle pits'!F41</f>
        <v>Cane </v>
      </c>
      <c r="F31">
        <f>'Recycle pits'!G41</f>
        <v>50000</v>
      </c>
      <c r="G31">
        <f>'Recycle pits'!H41</f>
        <v>20000</v>
      </c>
      <c r="H31">
        <f>'Recycle pits'!I41</f>
        <v>30000</v>
      </c>
      <c r="I31" s="552">
        <f>'Recycle pits'!J41</f>
        <v>0.6</v>
      </c>
      <c r="J31" t="str">
        <f>'Recycle pits'!K41</f>
        <v>Recycle Pit</v>
      </c>
      <c r="K31" t="str">
        <f>'Recycle pits'!L41</f>
        <v>Lot number removed</v>
      </c>
      <c r="L31">
        <f>'Recycle pits'!O41</f>
        <v>0</v>
      </c>
      <c r="M31">
        <f>'Recycle pits'!P41</f>
        <v>0</v>
      </c>
      <c r="N31" s="563">
        <f>'Recycle pits'!AR41</f>
        <v>79.83068898960634</v>
      </c>
      <c r="O31">
        <f>'Recycle pits'!AS41</f>
        <v>5</v>
      </c>
      <c r="P31">
        <f>'Recycle pits'!AQ41</f>
        <v>1</v>
      </c>
      <c r="Q31" s="563">
        <f>'Recycle pits'!AT41</f>
        <v>399.15344494803173</v>
      </c>
      <c r="R31" s="564">
        <f>'Recycle pits'!AY41</f>
        <v>0.3154166666666666</v>
      </c>
      <c r="S31" s="564">
        <f>'Recycle pits'!BA41</f>
        <v>0.008392857142857148</v>
      </c>
      <c r="T31" s="564">
        <f>'Recycle pits'!BC41</f>
        <v>0.005239997392677223</v>
      </c>
      <c r="U31" s="565">
        <f>'Recycle pits'!BD41</f>
        <v>30000</v>
      </c>
      <c r="V31">
        <f>'Recycle pits'!BE41</f>
        <v>1.7466657975590744E-07</v>
      </c>
      <c r="W31" s="61">
        <f t="shared" si="2"/>
        <v>0.17466657975590744</v>
      </c>
      <c r="AB31" s="583">
        <f t="shared" si="0"/>
        <v>0.005239997392677223</v>
      </c>
      <c r="AC31" s="668">
        <f t="shared" si="1"/>
        <v>0.17466657975590744</v>
      </c>
      <c r="AD31" s="46">
        <f t="shared" si="3"/>
        <v>56</v>
      </c>
    </row>
    <row r="32" spans="1:30" ht="12.75">
      <c r="A32" t="s">
        <v>31</v>
      </c>
      <c r="B32" t="s">
        <v>940</v>
      </c>
      <c r="C32">
        <f>'Recycle pits'!D42</f>
        <v>54</v>
      </c>
      <c r="D32" t="str">
        <f>'Recycle pits'!E42</f>
        <v>Name removed</v>
      </c>
      <c r="E32" t="str">
        <f>'Recycle pits'!F42</f>
        <v>Cane </v>
      </c>
      <c r="F32">
        <f>'Recycle pits'!G42</f>
        <v>24250</v>
      </c>
      <c r="G32">
        <f>'Recycle pits'!H42</f>
        <v>13120</v>
      </c>
      <c r="H32">
        <f>'Recycle pits'!I42</f>
        <v>11130</v>
      </c>
      <c r="I32" s="552">
        <f>'Recycle pits'!J42</f>
        <v>0.4589690721649485</v>
      </c>
      <c r="J32" t="str">
        <f>'Recycle pits'!K42</f>
        <v>extension of recycling system</v>
      </c>
      <c r="K32" t="str">
        <f>'Recycle pits'!L42</f>
        <v>Lot number removed</v>
      </c>
      <c r="L32">
        <f>'Recycle pits'!O42</f>
        <v>0</v>
      </c>
      <c r="M32">
        <f>'Recycle pits'!P42</f>
        <v>0</v>
      </c>
      <c r="N32" s="563">
        <f>'Recycle pits'!AR42</f>
        <v>14.724079389956547</v>
      </c>
      <c r="O32">
        <f>'Recycle pits'!AS42</f>
        <v>5</v>
      </c>
      <c r="P32">
        <f>'Recycle pits'!AQ42</f>
        <v>0.2</v>
      </c>
      <c r="Q32" s="563">
        <f>'Recycle pits'!AT42</f>
        <v>73.62039694978273</v>
      </c>
      <c r="R32" s="564">
        <f>'Recycle pits'!AY42</f>
        <v>0.5108333333333334</v>
      </c>
      <c r="S32" s="564">
        <f>'Recycle pits'!BA42</f>
        <v>0.0066428571428571405</v>
      </c>
      <c r="T32" s="564">
        <f>'Recycle pits'!BC42</f>
        <v>0.000984694998485351</v>
      </c>
      <c r="U32" s="565">
        <f>'Recycle pits'!BD42</f>
        <v>11130</v>
      </c>
      <c r="V32">
        <f>'Recycle pits'!BE42</f>
        <v>8.847214721341878E-08</v>
      </c>
      <c r="W32" s="61">
        <f t="shared" si="2"/>
        <v>0.08847214721341878</v>
      </c>
      <c r="X32" t="str">
        <f>'Nutrient management'!J33</f>
        <v>legumes   </v>
      </c>
      <c r="Y32" t="s">
        <v>177</v>
      </c>
      <c r="Z32" s="585">
        <f>'Nutrient management'!AY33*0.5</f>
        <v>775.2217514724261</v>
      </c>
      <c r="AA32">
        <f>'Nutrient management'!BH33*0.5</f>
        <v>0.010357058483356739</v>
      </c>
      <c r="AB32" s="583">
        <f t="shared" si="0"/>
        <v>0.01134175348184209</v>
      </c>
      <c r="AC32" s="668">
        <f t="shared" si="1"/>
        <v>1.0190254700666748</v>
      </c>
      <c r="AD32" s="46">
        <f t="shared" si="3"/>
        <v>22</v>
      </c>
    </row>
    <row r="33" spans="1:30" ht="12.75">
      <c r="A33" t="s">
        <v>31</v>
      </c>
      <c r="B33" t="s">
        <v>940</v>
      </c>
      <c r="C33">
        <f>'Recycle pits'!D43</f>
        <v>57</v>
      </c>
      <c r="D33" t="str">
        <f>'Recycle pits'!E43</f>
        <v>Name removed</v>
      </c>
      <c r="E33" t="str">
        <f>'Recycle pits'!F43</f>
        <v>Cane </v>
      </c>
      <c r="F33">
        <f>'Recycle pits'!G43</f>
        <v>40000</v>
      </c>
      <c r="G33">
        <f>'Recycle pits'!H43</f>
        <v>20000</v>
      </c>
      <c r="H33">
        <f>'Recycle pits'!I43</f>
        <v>20000</v>
      </c>
      <c r="I33" s="552">
        <f>'Recycle pits'!J43</f>
        <v>0.5</v>
      </c>
      <c r="J33" t="str">
        <f>'Recycle pits'!K43</f>
        <v>Recycle pit</v>
      </c>
      <c r="K33" t="str">
        <f>'Recycle pits'!L43</f>
        <v>Lot number removed</v>
      </c>
      <c r="L33">
        <f>'Recycle pits'!O43</f>
        <v>0</v>
      </c>
      <c r="M33">
        <f>'Recycle pits'!P43</f>
        <v>0</v>
      </c>
      <c r="N33" s="563">
        <f>'Recycle pits'!AR43</f>
        <v>157.4915917638723</v>
      </c>
      <c r="O33">
        <f>'Recycle pits'!AS43</f>
        <v>5</v>
      </c>
      <c r="P33">
        <f>'Recycle pits'!AQ43</f>
        <v>1</v>
      </c>
      <c r="Q33" s="563">
        <f>'Recycle pits'!AT43</f>
        <v>787.4579588193615</v>
      </c>
      <c r="R33" s="564">
        <f>'Recycle pits'!AY43</f>
        <v>0.5445833333333333</v>
      </c>
      <c r="S33" s="564">
        <f>'Recycle pits'!BA43</f>
        <v>0.39125000000000004</v>
      </c>
      <c r="T33" s="564">
        <f>'Recycle pits'!BC43</f>
        <v>0.01076943346279456</v>
      </c>
      <c r="U33" s="565">
        <f>'Recycle pits'!BD43</f>
        <v>20000</v>
      </c>
      <c r="V33">
        <f>'Recycle pits'!BE43</f>
        <v>5.38471673139728E-07</v>
      </c>
      <c r="W33" s="61">
        <f t="shared" si="2"/>
        <v>0.538471673139728</v>
      </c>
      <c r="X33" t="str">
        <f>'Nutrient management'!J29</f>
        <v>Legumes with GPS</v>
      </c>
      <c r="Y33" t="s">
        <v>177</v>
      </c>
      <c r="Z33" s="585">
        <f>'Nutrient management'!AY29*0.5</f>
        <v>44.239790721965164</v>
      </c>
      <c r="AA33">
        <f>'Nutrient management'!BH29*0.5</f>
        <v>0.000598504732593957</v>
      </c>
      <c r="AB33" s="583">
        <f t="shared" si="0"/>
        <v>0.011367938195388517</v>
      </c>
      <c r="AC33" s="668">
        <f t="shared" si="1"/>
        <v>0.5683969097694258</v>
      </c>
      <c r="AD33" s="46">
        <f t="shared" si="3"/>
        <v>32</v>
      </c>
    </row>
    <row r="34" spans="1:30" ht="12.75">
      <c r="A34" t="s">
        <v>31</v>
      </c>
      <c r="B34" t="s">
        <v>940</v>
      </c>
      <c r="C34">
        <f>'Recycle pits'!D44</f>
        <v>58</v>
      </c>
      <c r="D34" t="str">
        <f>'Recycle pits'!E44</f>
        <v>Name removed</v>
      </c>
      <c r="E34" t="str">
        <f>'Recycle pits'!F44</f>
        <v>Cane </v>
      </c>
      <c r="F34">
        <f>'Recycle pits'!G44</f>
        <v>6000</v>
      </c>
      <c r="G34">
        <f>'Recycle pits'!H44</f>
        <v>3000</v>
      </c>
      <c r="H34">
        <f>'Recycle pits'!I44</f>
        <v>3000</v>
      </c>
      <c r="I34" s="552">
        <f>'Recycle pits'!J44</f>
        <v>0.5</v>
      </c>
      <c r="J34" t="str">
        <f>'Recycle pits'!K44</f>
        <v>Recycle pit extension</v>
      </c>
      <c r="K34" t="str">
        <f>'Recycle pits'!L44</f>
        <v>Lot number removed</v>
      </c>
      <c r="L34">
        <f>'Recycle pits'!O44</f>
        <v>0</v>
      </c>
      <c r="M34">
        <f>'Recycle pits'!P44</f>
        <v>0</v>
      </c>
      <c r="N34" s="563">
        <f>'Recycle pits'!AR44</f>
        <v>3.745686231299874</v>
      </c>
      <c r="O34">
        <f>'Recycle pits'!AS44</f>
        <v>5</v>
      </c>
      <c r="P34">
        <f>'Recycle pits'!AQ44</f>
        <v>0.13862943611198897</v>
      </c>
      <c r="Q34" s="563">
        <f>'Recycle pits'!AT44</f>
        <v>18.72843115649937</v>
      </c>
      <c r="R34" s="564">
        <f>'Recycle pits'!AY44</f>
        <v>0.5862499999999999</v>
      </c>
      <c r="S34" s="564">
        <f>'Recycle pits'!BA44</f>
        <v>0.0021428571428571477</v>
      </c>
      <c r="T34" s="564">
        <f>'Recycle pits'!BC44</f>
        <v>0.0002522390241525411</v>
      </c>
      <c r="U34" s="565">
        <f>'Recycle pits'!BD44</f>
        <v>3000</v>
      </c>
      <c r="V34">
        <f>'Recycle pits'!BE44</f>
        <v>8.40796747175137E-08</v>
      </c>
      <c r="W34" s="61">
        <f t="shared" si="2"/>
        <v>0.0840796747175137</v>
      </c>
      <c r="AB34" s="583">
        <f t="shared" si="0"/>
        <v>0.0002522390241525411</v>
      </c>
      <c r="AC34" s="668">
        <f aca="true" t="shared" si="4" ref="AC34:AC66">AB34/U34*1000000</f>
        <v>0.0840796747175137</v>
      </c>
      <c r="AD34" s="46">
        <f t="shared" si="3"/>
        <v>65</v>
      </c>
    </row>
    <row r="35" spans="1:30" ht="12.75">
      <c r="A35" t="s">
        <v>31</v>
      </c>
      <c r="B35" t="s">
        <v>940</v>
      </c>
      <c r="C35">
        <f>'Recycle pits'!D45</f>
        <v>61</v>
      </c>
      <c r="D35" t="str">
        <f>'Recycle pits'!E45</f>
        <v>Name removed</v>
      </c>
      <c r="E35" t="str">
        <f>'Recycle pits'!F45</f>
        <v>Cane </v>
      </c>
      <c r="F35">
        <f>'Recycle pits'!G45</f>
        <v>20000</v>
      </c>
      <c r="G35">
        <f>'Recycle pits'!H45</f>
        <v>5000</v>
      </c>
      <c r="H35">
        <f>'Recycle pits'!I45</f>
        <v>15000</v>
      </c>
      <c r="I35" s="552">
        <f>'Recycle pits'!J45</f>
        <v>0.75</v>
      </c>
      <c r="J35" t="str">
        <f>'Recycle pits'!K45</f>
        <v>Recycle Pit upgrade</v>
      </c>
      <c r="K35" t="str">
        <f>'Recycle pits'!L45</f>
        <v>Lot number removed</v>
      </c>
      <c r="L35">
        <f>'Recycle pits'!O45</f>
        <v>0</v>
      </c>
      <c r="M35">
        <f>'Recycle pits'!P45</f>
        <v>0</v>
      </c>
      <c r="N35" s="563">
        <f>'Recycle pits'!AR45</f>
        <v>59.19534972729886</v>
      </c>
      <c r="O35">
        <f>'Recycle pits'!AS45</f>
        <v>5</v>
      </c>
      <c r="P35">
        <f>'Recycle pits'!AQ45</f>
        <v>0.5</v>
      </c>
      <c r="Q35" s="563">
        <f>'Recycle pits'!AT45</f>
        <v>295.97674863649434</v>
      </c>
      <c r="R35" s="564">
        <f>'Recycle pits'!AY45</f>
        <v>0.25958333333333333</v>
      </c>
      <c r="S35" s="564">
        <f>'Recycle pits'!BA45</f>
        <v>0.08732142857142858</v>
      </c>
      <c r="T35" s="564">
        <f>'Recycle pits'!BC45</f>
        <v>0.003879730468954901</v>
      </c>
      <c r="U35" s="565">
        <f>'Recycle pits'!BD45</f>
        <v>15000</v>
      </c>
      <c r="V35">
        <f>'Recycle pits'!BE45</f>
        <v>2.586486979303267E-07</v>
      </c>
      <c r="W35" s="61">
        <f t="shared" si="2"/>
        <v>0.2586486979303267</v>
      </c>
      <c r="AB35" s="583">
        <f t="shared" si="0"/>
        <v>0.003879730468954901</v>
      </c>
      <c r="AC35" s="668">
        <f t="shared" si="4"/>
        <v>0.2586486979303267</v>
      </c>
      <c r="AD35" s="46">
        <f t="shared" si="3"/>
        <v>48</v>
      </c>
    </row>
    <row r="36" spans="1:30" ht="12.75">
      <c r="A36" t="s">
        <v>31</v>
      </c>
      <c r="B36" t="s">
        <v>940</v>
      </c>
      <c r="C36">
        <f>'Recycle pits'!D46</f>
        <v>66</v>
      </c>
      <c r="D36" t="str">
        <f>'Recycle pits'!E46</f>
        <v>Name removed</v>
      </c>
      <c r="E36" t="str">
        <f>'Recycle pits'!F46</f>
        <v>Cane </v>
      </c>
      <c r="F36">
        <f>'Recycle pits'!G46</f>
        <v>62698</v>
      </c>
      <c r="G36">
        <f>'Recycle pits'!H46</f>
        <v>21250</v>
      </c>
      <c r="H36">
        <f>'Recycle pits'!I46</f>
        <v>41448</v>
      </c>
      <c r="I36" s="552">
        <f>'Recycle pits'!J46</f>
        <v>0.661073718459919</v>
      </c>
      <c r="J36" t="str">
        <f>'Recycle pits'!K46</f>
        <v>Recycle pit</v>
      </c>
      <c r="K36" t="str">
        <f>'Recycle pits'!L46</f>
        <v>Lot number removed</v>
      </c>
      <c r="L36">
        <f>'Recycle pits'!O46</f>
        <v>0</v>
      </c>
      <c r="M36">
        <f>'Recycle pits'!P46</f>
        <v>0</v>
      </c>
      <c r="N36" s="563">
        <f>'Recycle pits'!AR46</f>
        <v>36.42350172759612</v>
      </c>
      <c r="O36">
        <f>'Recycle pits'!AS46</f>
        <v>5</v>
      </c>
      <c r="P36">
        <f>'Recycle pits'!AQ46</f>
        <v>1</v>
      </c>
      <c r="Q36" s="563">
        <f>'Recycle pits'!AT46</f>
        <v>182.1175086379806</v>
      </c>
      <c r="R36" s="564">
        <f>'Recycle pits'!AY46</f>
        <v>0.3625</v>
      </c>
      <c r="S36" s="564">
        <f>'Recycle pits'!BA46</f>
        <v>0.07928571428571429</v>
      </c>
      <c r="T36" s="564">
        <f>'Recycle pits'!BC46</f>
        <v>0.0024102201428004453</v>
      </c>
      <c r="U36" s="565">
        <f>'Recycle pits'!BD46</f>
        <v>41448</v>
      </c>
      <c r="V36">
        <f>'Recycle pits'!BE46</f>
        <v>5.815045702568146E-08</v>
      </c>
      <c r="W36" s="61">
        <f t="shared" si="2"/>
        <v>0.05815045702568146</v>
      </c>
      <c r="X36" t="str">
        <f>'Nutrient management'!J34</f>
        <v>weed free legumes  </v>
      </c>
      <c r="Y36" t="s">
        <v>177</v>
      </c>
      <c r="Z36" s="585">
        <f>'Nutrient management'!AY34*0.5</f>
        <v>73.06988877022059</v>
      </c>
      <c r="AA36">
        <f>'Nutrient management'!BH34*0.5</f>
        <v>0.0009628864573264229</v>
      </c>
      <c r="AB36" s="583">
        <f t="shared" si="0"/>
        <v>0.003373106600126868</v>
      </c>
      <c r="AC36" s="668">
        <f t="shared" si="4"/>
        <v>0.0813816492985637</v>
      </c>
      <c r="AD36" s="46">
        <f t="shared" si="3"/>
        <v>66</v>
      </c>
    </row>
    <row r="37" spans="1:30" ht="12.75">
      <c r="A37" t="s">
        <v>31</v>
      </c>
      <c r="B37" t="s">
        <v>940</v>
      </c>
      <c r="C37">
        <f>'Recycle pits'!D47</f>
        <v>67</v>
      </c>
      <c r="D37" t="str">
        <f>'Recycle pits'!E47</f>
        <v>Name removed</v>
      </c>
      <c r="E37" t="str">
        <f>'Recycle pits'!F47</f>
        <v>Cane </v>
      </c>
      <c r="F37">
        <f>'Recycle pits'!G47</f>
        <v>77440</v>
      </c>
      <c r="G37">
        <f>'Recycle pits'!H47</f>
        <v>40000</v>
      </c>
      <c r="H37">
        <f>'Recycle pits'!I47</f>
        <v>37440</v>
      </c>
      <c r="I37" s="552">
        <f>'Recycle pits'!J47</f>
        <v>0.4834710743801653</v>
      </c>
      <c r="J37" t="str">
        <f>'Recycle pits'!K47</f>
        <v>Recycle pit</v>
      </c>
      <c r="K37" t="str">
        <f>'Recycle pits'!L47</f>
        <v>Lot number removed</v>
      </c>
      <c r="L37">
        <f>'Recycle pits'!O47</f>
        <v>0</v>
      </c>
      <c r="M37">
        <f>'Recycle pits'!P47</f>
        <v>0</v>
      </c>
      <c r="N37" s="563">
        <f>'Recycle pits'!AR47</f>
        <v>14.694941169458538</v>
      </c>
      <c r="O37">
        <f>'Recycle pits'!AS47</f>
        <v>5</v>
      </c>
      <c r="P37">
        <f>'Recycle pits'!AQ47</f>
        <v>1</v>
      </c>
      <c r="Q37" s="563">
        <f>'Recycle pits'!AT47</f>
        <v>73.47470584729268</v>
      </c>
      <c r="R37" s="564">
        <f>'Recycle pits'!AY47</f>
        <v>0.3625</v>
      </c>
      <c r="S37" s="564">
        <f>'Recycle pits'!BA47</f>
        <v>0.07928571428571429</v>
      </c>
      <c r="T37" s="564">
        <f>'Recycle pits'!BC47</f>
        <v>0.0009723953360876931</v>
      </c>
      <c r="U37" s="565">
        <f>'Recycle pits'!BD47</f>
        <v>37440</v>
      </c>
      <c r="V37">
        <f>'Recycle pits'!BE47</f>
        <v>2.5972097651914878E-08</v>
      </c>
      <c r="W37" s="61">
        <f t="shared" si="2"/>
        <v>0.02597209765191488</v>
      </c>
      <c r="X37" t="str">
        <f>'Nutrient management'!J35</f>
        <v>weed free legumes  </v>
      </c>
      <c r="Y37" t="s">
        <v>177</v>
      </c>
      <c r="Z37" s="585">
        <f>'Nutrient management'!AY35*0.5</f>
        <v>73.06988877022059</v>
      </c>
      <c r="AA37">
        <f>'Nutrient management'!BH35*0.5</f>
        <v>0.0009702149857110947</v>
      </c>
      <c r="AB37" s="583">
        <f t="shared" si="0"/>
        <v>0.0019426103217987877</v>
      </c>
      <c r="AC37" s="668">
        <f t="shared" si="4"/>
        <v>0.051885959449753945</v>
      </c>
      <c r="AD37" s="46">
        <f t="shared" si="3"/>
        <v>73</v>
      </c>
    </row>
    <row r="38" spans="1:30" ht="12.75">
      <c r="A38" t="s">
        <v>31</v>
      </c>
      <c r="B38" t="s">
        <v>940</v>
      </c>
      <c r="C38">
        <f>'Recycle pits'!D48</f>
        <v>68</v>
      </c>
      <c r="D38" t="str">
        <f>'Recycle pits'!E48</f>
        <v>Name removed</v>
      </c>
      <c r="E38" t="str">
        <f>'Recycle pits'!F48</f>
        <v>Cane </v>
      </c>
      <c r="F38">
        <f>'Recycle pits'!G48</f>
        <v>20000</v>
      </c>
      <c r="G38">
        <f>'Recycle pits'!H48</f>
        <v>10000</v>
      </c>
      <c r="H38">
        <f>'Recycle pits'!I48</f>
        <v>10000</v>
      </c>
      <c r="I38" s="552">
        <f>'Recycle pits'!J48</f>
        <v>0.5</v>
      </c>
      <c r="J38" t="str">
        <f>'Recycle pits'!K48</f>
        <v>Recycle pit</v>
      </c>
      <c r="K38" t="str">
        <f>'Recycle pits'!L48</f>
        <v>Lot number removed</v>
      </c>
      <c r="L38">
        <f>'Recycle pits'!O48</f>
        <v>0</v>
      </c>
      <c r="M38">
        <f>'Recycle pits'!P48</f>
        <v>0</v>
      </c>
      <c r="N38" s="563">
        <f>'Recycle pits'!AR48</f>
        <v>41.4863856132829</v>
      </c>
      <c r="O38">
        <f>'Recycle pits'!AS48</f>
        <v>5</v>
      </c>
      <c r="P38">
        <f>'Recycle pits'!AQ48</f>
        <v>1</v>
      </c>
      <c r="Q38" s="563">
        <f>'Recycle pits'!AT48</f>
        <v>207.43192806641449</v>
      </c>
      <c r="R38" s="564">
        <f>'Recycle pits'!AY48</f>
        <v>0.13125</v>
      </c>
      <c r="S38" s="564">
        <f>'Recycle pits'!BA48</f>
        <v>0.0057142857142857195</v>
      </c>
      <c r="T38" s="564">
        <f>'Recycle pits'!BC48</f>
        <v>0.0026741447176844963</v>
      </c>
      <c r="U38" s="565">
        <f>'Recycle pits'!BD48</f>
        <v>10000</v>
      </c>
      <c r="V38">
        <f>'Recycle pits'!BE48</f>
        <v>2.6741447176844963E-07</v>
      </c>
      <c r="W38" s="61">
        <f t="shared" si="2"/>
        <v>0.2674144717684496</v>
      </c>
      <c r="AB38" s="583">
        <f t="shared" si="0"/>
        <v>0.0026741447176844963</v>
      </c>
      <c r="AC38" s="668">
        <f t="shared" si="4"/>
        <v>0.2674144717684496</v>
      </c>
      <c r="AD38" s="46">
        <f t="shared" si="3"/>
        <v>47</v>
      </c>
    </row>
    <row r="39" spans="1:30" ht="12.75">
      <c r="A39" t="s">
        <v>31</v>
      </c>
      <c r="B39" t="s">
        <v>940</v>
      </c>
      <c r="C39">
        <f>'Recycle pits'!D49</f>
        <v>70</v>
      </c>
      <c r="D39" t="str">
        <f>'Recycle pits'!E49</f>
        <v>Name removed</v>
      </c>
      <c r="E39" t="str">
        <f>'Recycle pits'!F49</f>
        <v>Cane </v>
      </c>
      <c r="F39">
        <f>'Recycle pits'!G49</f>
        <v>55000</v>
      </c>
      <c r="G39">
        <f>'Recycle pits'!H49</f>
        <v>5000</v>
      </c>
      <c r="H39">
        <f>'Recycle pits'!I49</f>
        <v>50000</v>
      </c>
      <c r="I39" s="552">
        <f>'Recycle pits'!J49</f>
        <v>0.9090909090909091</v>
      </c>
      <c r="J39" t="str">
        <f>'Recycle pits'!K49</f>
        <v>Recycle pit</v>
      </c>
      <c r="K39" t="str">
        <f>'Recycle pits'!L49</f>
        <v>Lot number removed</v>
      </c>
      <c r="L39">
        <f>'Recycle pits'!O49</f>
        <v>0</v>
      </c>
      <c r="M39">
        <f>'Recycle pits'!P49</f>
        <v>0</v>
      </c>
      <c r="N39" s="563">
        <f>'Recycle pits'!AR49</f>
        <v>45.08825294678704</v>
      </c>
      <c r="O39">
        <f>'Recycle pits'!AS49</f>
        <v>5</v>
      </c>
      <c r="P39">
        <f>'Recycle pits'!AQ49</f>
        <v>1</v>
      </c>
      <c r="Q39" s="563">
        <f>'Recycle pits'!AT49</f>
        <v>225.44126473393518</v>
      </c>
      <c r="R39" s="564">
        <f>'Recycle pits'!AY49</f>
        <v>0.2604166666666667</v>
      </c>
      <c r="S39" s="564">
        <f>'Recycle pits'!BA49</f>
        <v>0.0021428571428571477</v>
      </c>
      <c r="T39" s="564">
        <f>'Recycle pits'!BC49</f>
        <v>0.0029428433334900846</v>
      </c>
      <c r="U39" s="565">
        <f>'Recycle pits'!BD49</f>
        <v>50000</v>
      </c>
      <c r="V39">
        <f>'Recycle pits'!BE49</f>
        <v>5.885686666980169E-08</v>
      </c>
      <c r="W39" s="61">
        <f t="shared" si="2"/>
        <v>0.058856866669801694</v>
      </c>
      <c r="AB39" s="583">
        <f t="shared" si="0"/>
        <v>0.0029428433334900846</v>
      </c>
      <c r="AC39" s="668">
        <f t="shared" si="4"/>
        <v>0.058856866669801694</v>
      </c>
      <c r="AD39" s="46">
        <f t="shared" si="3"/>
        <v>72</v>
      </c>
    </row>
    <row r="40" spans="1:30" ht="12.75">
      <c r="A40" t="s">
        <v>31</v>
      </c>
      <c r="B40" t="s">
        <v>940</v>
      </c>
      <c r="C40">
        <f>'Recycle pits'!D50</f>
        <v>75</v>
      </c>
      <c r="D40" t="str">
        <f>'Recycle pits'!E50</f>
        <v>Name removed</v>
      </c>
      <c r="E40" t="str">
        <f>'Recycle pits'!F50</f>
        <v>Cane </v>
      </c>
      <c r="F40">
        <f>'Recycle pits'!G50</f>
        <v>57000</v>
      </c>
      <c r="G40">
        <f>'Recycle pits'!H50</f>
        <v>22800</v>
      </c>
      <c r="H40">
        <f>'Recycle pits'!I50</f>
        <v>34200</v>
      </c>
      <c r="I40" s="552">
        <f>'Recycle pits'!J50</f>
        <v>0.6</v>
      </c>
      <c r="J40" t="str">
        <f>'Recycle pits'!K50</f>
        <v>Recycle Pit</v>
      </c>
      <c r="K40" t="str">
        <f>'Recycle pits'!L50</f>
        <v>Lot number removed</v>
      </c>
      <c r="L40">
        <f>'Recycle pits'!O50</f>
        <v>0</v>
      </c>
      <c r="M40">
        <f>'Recycle pits'!P50</f>
        <v>0</v>
      </c>
      <c r="N40" s="563">
        <f>'Recycle pits'!AR50</f>
        <v>228.55154653978488</v>
      </c>
      <c r="O40">
        <f>'Recycle pits'!AS50</f>
        <v>5</v>
      </c>
      <c r="P40">
        <f>'Recycle pits'!AQ50</f>
        <v>1</v>
      </c>
      <c r="Q40" s="563">
        <f>'Recycle pits'!AT50</f>
        <v>1142.7577326989244</v>
      </c>
      <c r="R40" s="564">
        <f>'Recycle pits'!AY50</f>
        <v>0.5525</v>
      </c>
      <c r="S40" s="564">
        <f>'Recycle pits'!BA50</f>
        <v>0.00999999999999999</v>
      </c>
      <c r="T40" s="564">
        <f>'Recycle pits'!BC50</f>
        <v>0.015347895242071686</v>
      </c>
      <c r="U40" s="565">
        <f>'Recycle pits'!BD50</f>
        <v>34200</v>
      </c>
      <c r="V40">
        <f>'Recycle pits'!BE50</f>
        <v>4.487688667272423E-07</v>
      </c>
      <c r="W40" s="61">
        <f t="shared" si="2"/>
        <v>0.4487688667272423</v>
      </c>
      <c r="X40" t="str">
        <f>'Nutrient management'!J30</f>
        <v>Variable fert with tests and GPS</v>
      </c>
      <c r="Y40" t="s">
        <v>177</v>
      </c>
      <c r="Z40" s="585">
        <f>'Nutrient management'!AY30*0.5</f>
        <v>74.23010060261247</v>
      </c>
      <c r="AA40">
        <f>'Nutrient management'!BH30*0.5</f>
        <v>0.0010056298917953288</v>
      </c>
      <c r="AB40" s="583">
        <f t="shared" si="0"/>
        <v>0.016353525133867015</v>
      </c>
      <c r="AC40" s="668">
        <f t="shared" si="4"/>
        <v>0.4781732495282753</v>
      </c>
      <c r="AD40" s="46">
        <f t="shared" si="3"/>
        <v>33</v>
      </c>
    </row>
    <row r="41" spans="1:30" ht="12.75">
      <c r="A41" t="s">
        <v>31</v>
      </c>
      <c r="B41" t="s">
        <v>940</v>
      </c>
      <c r="C41">
        <f>'Recycle pits'!D51</f>
        <v>76</v>
      </c>
      <c r="D41" t="str">
        <f>'Recycle pits'!E51</f>
        <v>Name removed</v>
      </c>
      <c r="E41" t="str">
        <f>'Recycle pits'!F51</f>
        <v>Cane </v>
      </c>
      <c r="F41">
        <f>'Recycle pits'!G51</f>
        <v>10000</v>
      </c>
      <c r="G41">
        <f>'Recycle pits'!H51</f>
        <v>2000</v>
      </c>
      <c r="H41">
        <f>'Recycle pits'!I51</f>
        <v>8000</v>
      </c>
      <c r="I41" s="552">
        <f>'Recycle pits'!J51</f>
        <v>0.8</v>
      </c>
      <c r="J41" t="str">
        <f>'Recycle pits'!K51</f>
        <v>Recycle pit_extension</v>
      </c>
      <c r="K41" t="str">
        <f>'Recycle pits'!L51</f>
        <v>Lot number removed</v>
      </c>
      <c r="L41">
        <f>'Recycle pits'!O51</f>
        <v>0</v>
      </c>
      <c r="M41">
        <f>'Recycle pits'!P51</f>
        <v>0</v>
      </c>
      <c r="N41" s="563">
        <f>'Recycle pits'!AR51</f>
        <v>2.2424743604096675</v>
      </c>
      <c r="O41">
        <f>'Recycle pits'!AS51</f>
        <v>5</v>
      </c>
      <c r="P41">
        <f>'Recycle pits'!AQ51</f>
        <v>0.11755733298042381</v>
      </c>
      <c r="Q41" s="563">
        <f>'Recycle pits'!AT51</f>
        <v>11.212371802048338</v>
      </c>
      <c r="R41" s="564">
        <f>'Recycle pits'!AY51</f>
        <v>0.4083333333333333</v>
      </c>
      <c r="S41" s="564">
        <f>'Recycle pits'!BA51</f>
        <v>0.0021428571428571477</v>
      </c>
      <c r="T41" s="564">
        <f>'Recycle pits'!BC51</f>
        <v>0.00014847297668204427</v>
      </c>
      <c r="U41" s="565">
        <f>'Recycle pits'!BD51</f>
        <v>8000</v>
      </c>
      <c r="V41">
        <f>'Recycle pits'!BE51</f>
        <v>1.8559122085255534E-08</v>
      </c>
      <c r="W41" s="61">
        <f t="shared" si="2"/>
        <v>0.018559122085255533</v>
      </c>
      <c r="X41" t="str">
        <f>'Nutrient management'!J31</f>
        <v>Variable fert with tests and GPS</v>
      </c>
      <c r="Y41" t="s">
        <v>177</v>
      </c>
      <c r="Z41" s="585">
        <f>'Nutrient management'!AY31*0.5</f>
        <v>59.23545799195889</v>
      </c>
      <c r="AA41">
        <f>'Nutrient management'!BH31*0.5</f>
        <v>0.000808989054153572</v>
      </c>
      <c r="AB41" s="583">
        <f t="shared" si="0"/>
        <v>0.0009574620308356162</v>
      </c>
      <c r="AC41" s="668">
        <f t="shared" si="4"/>
        <v>0.11968275385445204</v>
      </c>
      <c r="AD41" s="46">
        <f t="shared" si="3"/>
        <v>61</v>
      </c>
    </row>
    <row r="42" spans="1:30" ht="12.75">
      <c r="A42" t="s">
        <v>31</v>
      </c>
      <c r="B42" t="s">
        <v>940</v>
      </c>
      <c r="C42">
        <f>'Recycle pits'!D52</f>
        <v>77</v>
      </c>
      <c r="D42" t="str">
        <f>'Recycle pits'!E52</f>
        <v>Name removed</v>
      </c>
      <c r="E42" t="str">
        <f>'Recycle pits'!F52</f>
        <v>Cane </v>
      </c>
      <c r="F42">
        <f>'Recycle pits'!G52</f>
        <v>28000</v>
      </c>
      <c r="G42">
        <f>'Recycle pits'!H52</f>
        <v>11200</v>
      </c>
      <c r="H42">
        <f>'Recycle pits'!I52</f>
        <v>16800</v>
      </c>
      <c r="I42" s="552">
        <f>'Recycle pits'!J52</f>
        <v>0.6</v>
      </c>
      <c r="J42" t="str">
        <f>'Recycle pits'!K52</f>
        <v>Recycle pit extension + upgrade</v>
      </c>
      <c r="K42" t="str">
        <f>'Recycle pits'!L52</f>
        <v>Lot number removed</v>
      </c>
      <c r="L42">
        <f>'Recycle pits'!O52</f>
        <v>0</v>
      </c>
      <c r="M42">
        <f>'Recycle pits'!P52</f>
        <v>0</v>
      </c>
      <c r="N42" s="563">
        <f>'Recycle pits'!AR52</f>
        <v>1.4388571562428505</v>
      </c>
      <c r="O42">
        <f>'Recycle pits'!AS52</f>
        <v>5</v>
      </c>
      <c r="P42">
        <f>'Recycle pits'!AQ52</f>
        <v>0.13862943611198908</v>
      </c>
      <c r="Q42" s="563">
        <f>'Recycle pits'!AT52</f>
        <v>7.194285781214252</v>
      </c>
      <c r="R42" s="564">
        <f>'Recycle pits'!AY52</f>
        <v>0.47833333333333333</v>
      </c>
      <c r="S42" s="564">
        <f>'Recycle pits'!BA52</f>
        <v>0.0021428571428571477</v>
      </c>
      <c r="T42" s="564">
        <f>'Recycle pits'!BC52</f>
        <v>9.590662941267859E-05</v>
      </c>
      <c r="U42" s="565">
        <f>'Recycle pits'!BD52</f>
        <v>16800</v>
      </c>
      <c r="V42">
        <f>'Recycle pits'!BE52</f>
        <v>5.708727941230868E-09</v>
      </c>
      <c r="W42" s="61">
        <f>V42*1000000</f>
        <v>0.005708727941230869</v>
      </c>
      <c r="X42" t="str">
        <f>'Nutrient management'!J32</f>
        <v>Variable fert with tests and GPS</v>
      </c>
      <c r="Y42" t="s">
        <v>177</v>
      </c>
      <c r="Z42" s="585">
        <f>'Nutrient management'!AY32*0.5</f>
        <v>6.299866092663686</v>
      </c>
      <c r="AA42">
        <f>'Nutrient management'!BH32*0.5</f>
        <v>8.16233763564173E-05</v>
      </c>
      <c r="AB42" s="583">
        <f t="shared" si="0"/>
        <v>0.00017753000576909588</v>
      </c>
      <c r="AC42" s="668">
        <f t="shared" si="4"/>
        <v>0.010567262248160469</v>
      </c>
      <c r="AD42" s="46">
        <f t="shared" si="3"/>
        <v>79</v>
      </c>
    </row>
    <row r="43" spans="1:30" ht="12.75">
      <c r="A43" t="s">
        <v>1087</v>
      </c>
      <c r="B43" t="s">
        <v>940</v>
      </c>
      <c r="C43" s="553">
        <f>'Water management'!C12</f>
        <v>14</v>
      </c>
      <c r="D43" s="553" t="str">
        <f>'Water management'!D12</f>
        <v>Name removed</v>
      </c>
      <c r="E43" t="str">
        <f>'Water management'!E12</f>
        <v>Cane </v>
      </c>
      <c r="F43">
        <f>'Water management'!F12</f>
        <v>15000</v>
      </c>
      <c r="G43">
        <f>'Water management'!G12</f>
        <v>7500</v>
      </c>
      <c r="H43">
        <f>'Water management'!H12</f>
        <v>7500</v>
      </c>
      <c r="I43" s="552">
        <f>'Water management'!I12</f>
        <v>0.5</v>
      </c>
      <c r="J43" t="str">
        <f>'Water management'!J12</f>
        <v>Pipework</v>
      </c>
      <c r="K43" t="str">
        <f>'Water management'!K12</f>
        <v>Lot number removed</v>
      </c>
      <c r="L43">
        <f>'Water management'!N12</f>
        <v>0</v>
      </c>
      <c r="M43">
        <f>'Water management'!O12</f>
        <v>0</v>
      </c>
      <c r="N43" s="563">
        <f>'Water management'!AM12</f>
        <v>38.30499253375329</v>
      </c>
      <c r="O43">
        <f>'Water management'!AN12</f>
        <v>5</v>
      </c>
      <c r="P43">
        <f>'Water management'!AO12</f>
        <v>1</v>
      </c>
      <c r="Q43" s="563">
        <f>'Water management'!AP12</f>
        <v>191.52496266876648</v>
      </c>
      <c r="R43" s="564">
        <f>'Water management'!AU12</f>
        <v>0.24625</v>
      </c>
      <c r="S43" s="564">
        <f>'Water management'!AW12</f>
        <v>0.0125</v>
      </c>
      <c r="T43" s="564">
        <f>'Water management'!AY12</f>
        <v>0.002497950841687208</v>
      </c>
      <c r="U43" s="565">
        <f>'Water management'!AZ12</f>
        <v>7500</v>
      </c>
      <c r="V43">
        <f>'Water management'!BA12</f>
        <v>3.330601122249611E-07</v>
      </c>
      <c r="W43" s="61">
        <f>V43*1000000</f>
        <v>0.33306011222496107</v>
      </c>
      <c r="AB43" s="583">
        <f aca="true" t="shared" si="5" ref="AB43:AB66">(T43+AA43)</f>
        <v>0.002497950841687208</v>
      </c>
      <c r="AC43" s="668">
        <f t="shared" si="4"/>
        <v>0.33306011222496107</v>
      </c>
      <c r="AD43" s="46">
        <f t="shared" si="3"/>
        <v>41</v>
      </c>
    </row>
    <row r="44" spans="1:30" ht="12.75">
      <c r="A44" t="s">
        <v>1087</v>
      </c>
      <c r="B44" t="s">
        <v>940</v>
      </c>
      <c r="C44" s="553">
        <f>'Water management'!C13</f>
        <v>15</v>
      </c>
      <c r="D44" s="553" t="str">
        <f>'Water management'!D13</f>
        <v>Name removed</v>
      </c>
      <c r="E44" t="str">
        <f>'Water management'!E13</f>
        <v>Cane</v>
      </c>
      <c r="F44">
        <f>'Water management'!F13</f>
        <v>40000</v>
      </c>
      <c r="G44">
        <f>'Water management'!G13</f>
        <v>15000</v>
      </c>
      <c r="H44">
        <f>'Water management'!H13</f>
        <v>25000</v>
      </c>
      <c r="I44" s="552">
        <f>'Water management'!I13</f>
        <v>0.625</v>
      </c>
      <c r="J44" t="str">
        <f>'Water management'!J13</f>
        <v>GPS unit</v>
      </c>
      <c r="K44" t="str">
        <f>'Water management'!K13</f>
        <v>Lot number removed</v>
      </c>
      <c r="L44">
        <f>'Water management'!N13</f>
        <v>0</v>
      </c>
      <c r="M44">
        <f>'Water management'!O13</f>
        <v>0</v>
      </c>
      <c r="N44" s="563">
        <f>'Water management'!AM13</f>
        <v>4.524469420473346</v>
      </c>
      <c r="O44">
        <f>'Water management'!AN13</f>
        <v>2.5</v>
      </c>
      <c r="P44">
        <f>'Water management'!AO13</f>
        <v>1</v>
      </c>
      <c r="Q44" s="563">
        <f>'Water management'!AP13</f>
        <v>11.311173551183364</v>
      </c>
      <c r="R44" s="564">
        <f>'Water management'!AU13</f>
        <v>0.4658333333333334</v>
      </c>
      <c r="S44" s="564">
        <f>'Water management'!AW13</f>
        <v>0.009642857142857153</v>
      </c>
      <c r="T44" s="564">
        <f>'Water management'!AY13</f>
        <v>0.00015066522538584196</v>
      </c>
      <c r="U44" s="565">
        <f>'Water management'!AZ13</f>
        <v>25000</v>
      </c>
      <c r="V44">
        <f>'Water management'!BA13</f>
        <v>6.026609015433678E-09</v>
      </c>
      <c r="W44" s="61">
        <f aca="true" t="shared" si="6" ref="W44:W88">V44*1000000</f>
        <v>0.006026609015433678</v>
      </c>
      <c r="AB44" s="583">
        <f t="shared" si="5"/>
        <v>0.00015066522538584196</v>
      </c>
      <c r="AC44" s="668">
        <f t="shared" si="4"/>
        <v>0.006026609015433678</v>
      </c>
      <c r="AD44" s="46">
        <f t="shared" si="3"/>
        <v>83</v>
      </c>
    </row>
    <row r="45" spans="1:30" ht="12.75">
      <c r="A45" t="s">
        <v>1087</v>
      </c>
      <c r="B45" t="s">
        <v>940</v>
      </c>
      <c r="C45" s="553">
        <f>'Water management'!C14</f>
        <v>16</v>
      </c>
      <c r="D45" s="553" t="str">
        <f>'Water management'!D14</f>
        <v>Name removed</v>
      </c>
      <c r="E45" t="str">
        <f>'Water management'!E14</f>
        <v>Cane</v>
      </c>
      <c r="F45">
        <f>'Water management'!F14</f>
        <v>10000</v>
      </c>
      <c r="G45">
        <f>'Water management'!G14</f>
        <v>3000</v>
      </c>
      <c r="H45">
        <f>'Water management'!H14</f>
        <v>7000</v>
      </c>
      <c r="I45" s="552">
        <f>'Water management'!I14</f>
        <v>0.7</v>
      </c>
      <c r="J45" t="str">
        <f>'Water management'!J14</f>
        <v>Bedformer</v>
      </c>
      <c r="K45" t="str">
        <f>'Water management'!K14</f>
        <v>Lot number removed</v>
      </c>
      <c r="L45">
        <f>'Water management'!N14</f>
        <v>0</v>
      </c>
      <c r="M45">
        <f>'Water management'!O14</f>
        <v>0</v>
      </c>
      <c r="N45" s="563">
        <f>'Water management'!AM14</f>
        <v>4.525394244715073</v>
      </c>
      <c r="O45">
        <f>'Water management'!AN14</f>
        <v>2.5</v>
      </c>
      <c r="P45">
        <f>'Water management'!AO14</f>
        <v>1</v>
      </c>
      <c r="Q45" s="563">
        <f>'Water management'!AP14</f>
        <v>11.313485611787682</v>
      </c>
      <c r="R45" s="564">
        <f>'Water management'!AU14</f>
        <v>0.2791666666666667</v>
      </c>
      <c r="S45" s="564">
        <f>'Water management'!AW14</f>
        <v>0.023928571428571428</v>
      </c>
      <c r="T45" s="564">
        <f>'Water management'!AY14</f>
        <v>0.00014811390496966055</v>
      </c>
      <c r="U45" s="565">
        <f>'Water management'!AZ14</f>
        <v>7000</v>
      </c>
      <c r="V45">
        <f>'Water management'!BA14</f>
        <v>2.115912928138008E-08</v>
      </c>
      <c r="W45" s="61">
        <f t="shared" si="6"/>
        <v>0.021159129281380078</v>
      </c>
      <c r="AB45" s="583">
        <f t="shared" si="5"/>
        <v>0.00014811390496966055</v>
      </c>
      <c r="AC45" s="668">
        <f t="shared" si="4"/>
        <v>0.021159129281380078</v>
      </c>
      <c r="AD45" s="46">
        <f t="shared" si="3"/>
        <v>76</v>
      </c>
    </row>
    <row r="46" spans="1:30" ht="12.75">
      <c r="A46" t="s">
        <v>1087</v>
      </c>
      <c r="B46" t="s">
        <v>940</v>
      </c>
      <c r="C46" s="553">
        <f>'Water management'!C15</f>
        <v>17</v>
      </c>
      <c r="D46" s="553" t="str">
        <f>'Water management'!D15</f>
        <v>Name removed</v>
      </c>
      <c r="E46" t="str">
        <f>'Water management'!E15</f>
        <v>Cane</v>
      </c>
      <c r="F46">
        <f>'Water management'!F15</f>
        <v>70000</v>
      </c>
      <c r="G46">
        <f>'Water management'!G15</f>
        <v>60000</v>
      </c>
      <c r="H46">
        <f>'Water management'!H15</f>
        <v>10000</v>
      </c>
      <c r="I46" s="552">
        <f>'Water management'!I15</f>
        <v>0.14285714285714285</v>
      </c>
      <c r="J46" t="str">
        <f>'Water management'!J15</f>
        <v>irrigation improvement</v>
      </c>
      <c r="K46">
        <f>'Water management'!K15</f>
        <v>0</v>
      </c>
      <c r="L46">
        <f>'Water management'!N15</f>
        <v>0</v>
      </c>
      <c r="M46">
        <f>'Water management'!O15</f>
        <v>0</v>
      </c>
      <c r="N46" s="563">
        <f>'Water management'!AM15</f>
        <v>3.082433814655173</v>
      </c>
      <c r="O46">
        <f>'Water management'!AN15</f>
        <v>5</v>
      </c>
      <c r="P46">
        <f>'Water management'!AO15</f>
        <v>1</v>
      </c>
      <c r="Q46" s="563">
        <f>'Water management'!AP15</f>
        <v>15.412169073275866</v>
      </c>
      <c r="R46" s="564">
        <f>'Water management'!AU15</f>
        <v>0.35666666666666663</v>
      </c>
      <c r="S46" s="564">
        <f>'Water management'!AW15</f>
        <v>0.029285714285714297</v>
      </c>
      <c r="T46" s="564">
        <f>'Water management'!AY15</f>
        <v>0.00020334871527923334</v>
      </c>
      <c r="U46" s="565">
        <f>'Water management'!AZ15</f>
        <v>10000</v>
      </c>
      <c r="V46">
        <f>'Water management'!BA15</f>
        <v>2.0334871527923335E-08</v>
      </c>
      <c r="W46" s="61">
        <f t="shared" si="6"/>
        <v>0.020334871527923334</v>
      </c>
      <c r="AB46" s="583">
        <f t="shared" si="5"/>
        <v>0.00020334871527923334</v>
      </c>
      <c r="AC46" s="668">
        <f t="shared" si="4"/>
        <v>0.020334871527923334</v>
      </c>
      <c r="AD46" s="46">
        <f t="shared" si="3"/>
        <v>77</v>
      </c>
    </row>
    <row r="47" spans="1:30" ht="12.75">
      <c r="A47" t="s">
        <v>1087</v>
      </c>
      <c r="B47" t="s">
        <v>940</v>
      </c>
      <c r="C47" s="553">
        <f>'Water management'!C16</f>
        <v>18</v>
      </c>
      <c r="D47" s="553" t="str">
        <f>'Water management'!D16</f>
        <v>Name removed</v>
      </c>
      <c r="E47" t="str">
        <f>'Water management'!E16</f>
        <v>Cane </v>
      </c>
      <c r="F47">
        <f>'Water management'!F16</f>
        <v>72000</v>
      </c>
      <c r="G47">
        <f>'Water management'!G16</f>
        <v>18000</v>
      </c>
      <c r="H47">
        <f>'Water management'!H16</f>
        <v>54000</v>
      </c>
      <c r="I47" s="552">
        <f>'Water management'!I16</f>
        <v>0.75</v>
      </c>
      <c r="J47" t="str">
        <f>'Water management'!J16</f>
        <v>Drain works</v>
      </c>
      <c r="K47" t="str">
        <f>'Water management'!K16</f>
        <v>Lot number removed</v>
      </c>
      <c r="L47">
        <f>'Water management'!N16</f>
        <v>0</v>
      </c>
      <c r="M47">
        <f>'Water management'!O16</f>
        <v>0</v>
      </c>
      <c r="N47" s="563">
        <f>'Water management'!AM16</f>
        <v>4640.807245103483</v>
      </c>
      <c r="O47">
        <f>'Water management'!AN16</f>
        <v>5</v>
      </c>
      <c r="P47">
        <f>'Water management'!AO16</f>
        <v>1</v>
      </c>
      <c r="Q47" s="563">
        <f>'Water management'!AP16</f>
        <v>23204.036225517415</v>
      </c>
      <c r="R47" s="564">
        <f>'Water management'!AU16</f>
        <v>0.7393333333333333</v>
      </c>
      <c r="S47" s="564">
        <f>'Water management'!AW16</f>
        <v>0.14335714285714288</v>
      </c>
      <c r="T47" s="564">
        <f>'Water management'!AY16</f>
        <v>0.3192750033976394</v>
      </c>
      <c r="U47" s="565">
        <f>'Water management'!AZ16</f>
        <v>54000</v>
      </c>
      <c r="V47">
        <f>'Water management'!BA16</f>
        <v>5.912500062919249E-06</v>
      </c>
      <c r="W47" s="61">
        <f t="shared" si="6"/>
        <v>5.912500062919249</v>
      </c>
      <c r="X47" t="str">
        <f>'Nutrient management'!J26</f>
        <v>Fallow with legume crop</v>
      </c>
      <c r="Y47" t="s">
        <v>177</v>
      </c>
      <c r="Z47" s="585">
        <f>'Nutrient management'!AY26</f>
        <v>644.0259449692669</v>
      </c>
      <c r="AA47">
        <f>'Nutrient management'!BH26</f>
        <v>0.008654192509891051</v>
      </c>
      <c r="AB47" s="583">
        <f t="shared" si="5"/>
        <v>0.32792919590753045</v>
      </c>
      <c r="AC47" s="668">
        <f t="shared" si="4"/>
        <v>6.07276288717649</v>
      </c>
      <c r="AD47" s="46">
        <f t="shared" si="3"/>
        <v>10</v>
      </c>
    </row>
    <row r="48" spans="1:30" ht="12.75">
      <c r="A48" t="s">
        <v>1087</v>
      </c>
      <c r="B48" t="s">
        <v>940</v>
      </c>
      <c r="C48" s="553">
        <f>'Water management'!C17</f>
        <v>23</v>
      </c>
      <c r="D48" s="553" t="str">
        <f>'Water management'!D17</f>
        <v>Name removed</v>
      </c>
      <c r="E48" t="str">
        <f>'Water management'!E17</f>
        <v>Cane</v>
      </c>
      <c r="F48">
        <f>'Water management'!F17</f>
        <v>16500</v>
      </c>
      <c r="G48">
        <f>'Water management'!G17</f>
        <v>6500</v>
      </c>
      <c r="H48">
        <f>'Water management'!H17</f>
        <v>10000</v>
      </c>
      <c r="I48" s="552">
        <f>'Water management'!I17</f>
        <v>0.6060606060606061</v>
      </c>
      <c r="J48" t="str">
        <f>'Water management'!J17</f>
        <v>Enviroscans</v>
      </c>
      <c r="K48" t="str">
        <f>'Water management'!K17</f>
        <v>Lot number removed</v>
      </c>
      <c r="L48">
        <f>'Water management'!N17</f>
        <v>0</v>
      </c>
      <c r="M48">
        <f>'Water management'!O17</f>
        <v>0</v>
      </c>
      <c r="N48" s="563">
        <f>'Water management'!AM17</f>
        <v>17.51048162225275</v>
      </c>
      <c r="O48">
        <f>'Water management'!AN17</f>
        <v>2.5</v>
      </c>
      <c r="P48">
        <f>'Water management'!AO17</f>
        <v>1</v>
      </c>
      <c r="Q48" s="563">
        <f>'Water management'!AP17</f>
        <v>43.77620405563188</v>
      </c>
      <c r="R48" s="564">
        <f>'Water management'!AU17</f>
        <v>0.6041666666666666</v>
      </c>
      <c r="S48" s="564">
        <f>'Water management'!AW17</f>
        <v>0</v>
      </c>
      <c r="T48" s="564">
        <f>'Water management'!AY17</f>
        <v>0.0005905230426662381</v>
      </c>
      <c r="U48" s="565">
        <f>'Water management'!AZ17</f>
        <v>10000</v>
      </c>
      <c r="V48">
        <f>'Water management'!BA17</f>
        <v>5.9052304266623806E-08</v>
      </c>
      <c r="W48" s="61">
        <f t="shared" si="6"/>
        <v>0.059052304266623806</v>
      </c>
      <c r="AB48" s="583">
        <f t="shared" si="5"/>
        <v>0.0005905230426662381</v>
      </c>
      <c r="AC48" s="668">
        <f t="shared" si="4"/>
        <v>0.059052304266623806</v>
      </c>
      <c r="AD48" s="46">
        <f t="shared" si="3"/>
        <v>71</v>
      </c>
    </row>
    <row r="49" spans="1:30" ht="12.75">
      <c r="A49" t="s">
        <v>1087</v>
      </c>
      <c r="B49" t="s">
        <v>940</v>
      </c>
      <c r="C49" s="553">
        <f>'Water management'!C18</f>
        <v>24</v>
      </c>
      <c r="D49" s="553" t="str">
        <f>'Water management'!D18</f>
        <v>Name removed</v>
      </c>
      <c r="E49" t="str">
        <f>'Water management'!E18</f>
        <v>Cane</v>
      </c>
      <c r="F49">
        <f>'Water management'!F18</f>
        <v>2700</v>
      </c>
      <c r="G49">
        <f>'Water management'!G18</f>
        <v>0</v>
      </c>
      <c r="H49">
        <f>'Water management'!H18</f>
        <v>2700</v>
      </c>
      <c r="I49" s="552">
        <f>'Water management'!I18</f>
        <v>1</v>
      </c>
      <c r="J49" t="str">
        <f>'Water management'!J18</f>
        <v>Spinning wheel rake</v>
      </c>
      <c r="K49" t="str">
        <f>'Water management'!K18</f>
        <v>Lot number removed</v>
      </c>
      <c r="L49">
        <f>'Water management'!N18</f>
        <v>0</v>
      </c>
      <c r="M49">
        <f>'Water management'!O18</f>
        <v>0</v>
      </c>
      <c r="N49" s="563">
        <f>'Water management'!AM18</f>
        <v>0.7269109009600312</v>
      </c>
      <c r="O49">
        <f>'Water management'!AN18</f>
        <v>2.5</v>
      </c>
      <c r="P49">
        <f>'Water management'!AO18</f>
        <v>1</v>
      </c>
      <c r="Q49" s="563">
        <f>'Water management'!AP18</f>
        <v>1.817277252400078</v>
      </c>
      <c r="R49" s="564">
        <f>'Water management'!AU18</f>
        <v>0.17958333333333334</v>
      </c>
      <c r="S49" s="564">
        <f>'Water management'!AW18</f>
        <v>0.014285714285714285</v>
      </c>
      <c r="T49" s="564">
        <f>'Water management'!AY18</f>
        <v>2.354959787744131E-05</v>
      </c>
      <c r="U49" s="565">
        <f>'Water management'!AZ18</f>
        <v>2700</v>
      </c>
      <c r="V49">
        <f>'Water management'!BA18</f>
        <v>8.722073287941226E-09</v>
      </c>
      <c r="W49" s="61">
        <f t="shared" si="6"/>
        <v>0.008722073287941225</v>
      </c>
      <c r="AB49" s="583">
        <f t="shared" si="5"/>
        <v>2.354959787744131E-05</v>
      </c>
      <c r="AC49" s="668">
        <f t="shared" si="4"/>
        <v>0.008722073287941225</v>
      </c>
      <c r="AD49" s="46">
        <f t="shared" si="3"/>
        <v>80</v>
      </c>
    </row>
    <row r="50" spans="1:30" ht="12.75">
      <c r="A50" t="s">
        <v>1087</v>
      </c>
      <c r="B50" t="s">
        <v>940</v>
      </c>
      <c r="C50" s="553">
        <f>'Water management'!C19</f>
        <v>28</v>
      </c>
      <c r="D50" s="553" t="str">
        <f>'Water management'!D19</f>
        <v>Name removed</v>
      </c>
      <c r="E50" t="str">
        <f>'Water management'!E19</f>
        <v>Cane</v>
      </c>
      <c r="F50">
        <f>'Water management'!F19</f>
        <v>7000</v>
      </c>
      <c r="G50">
        <f>'Water management'!G19</f>
        <v>2000</v>
      </c>
      <c r="H50">
        <f>'Water management'!H19</f>
        <v>5000</v>
      </c>
      <c r="I50" s="552">
        <f>'Water management'!I19</f>
        <v>0.7142857142857143</v>
      </c>
      <c r="J50" t="str">
        <f>'Water management'!J19</f>
        <v>Weather Station</v>
      </c>
      <c r="K50" t="str">
        <f>'Water management'!K19</f>
        <v>Lot number removed</v>
      </c>
      <c r="L50">
        <f>'Water management'!N19</f>
        <v>0</v>
      </c>
      <c r="M50">
        <f>'Water management'!O19</f>
        <v>0</v>
      </c>
      <c r="N50" s="563">
        <f>'Water management'!AM19</f>
        <v>25.841857792469266</v>
      </c>
      <c r="O50">
        <f>'Water management'!AN19</f>
        <v>2.5</v>
      </c>
      <c r="P50">
        <f>'Water management'!AO19</f>
        <v>1</v>
      </c>
      <c r="Q50" s="563">
        <f>'Water management'!AP19</f>
        <v>64.60464448117317</v>
      </c>
      <c r="R50" s="564">
        <f>'Water management'!AU19</f>
        <v>0.7179166666666668</v>
      </c>
      <c r="S50" s="564">
        <f>'Water management'!AW19</f>
        <v>0.003571428571428572</v>
      </c>
      <c r="T50" s="564">
        <f>'Water management'!AY19</f>
        <v>0.0008809958574511913</v>
      </c>
      <c r="U50" s="565">
        <f>'Water management'!AZ19</f>
        <v>5000</v>
      </c>
      <c r="V50">
        <f>'Water management'!BA19</f>
        <v>1.7619917149023825E-07</v>
      </c>
      <c r="W50" s="61">
        <f t="shared" si="6"/>
        <v>0.17619917149023825</v>
      </c>
      <c r="AB50" s="583">
        <f t="shared" si="5"/>
        <v>0.0008809958574511913</v>
      </c>
      <c r="AC50" s="668">
        <f t="shared" si="4"/>
        <v>0.17619917149023825</v>
      </c>
      <c r="AD50" s="46">
        <f t="shared" si="3"/>
        <v>55</v>
      </c>
    </row>
    <row r="51" spans="1:30" ht="12.75">
      <c r="A51" t="s">
        <v>1087</v>
      </c>
      <c r="B51" t="s">
        <v>940</v>
      </c>
      <c r="C51" s="553">
        <f>'Water management'!C20</f>
        <v>29</v>
      </c>
      <c r="D51" s="553" t="str">
        <f>'Water management'!D20</f>
        <v>Name removed</v>
      </c>
      <c r="E51" t="str">
        <f>'Water management'!E20</f>
        <v>Cane</v>
      </c>
      <c r="F51">
        <f>'Water management'!F20</f>
        <v>150000</v>
      </c>
      <c r="G51">
        <f>'Water management'!G20</f>
        <v>50000</v>
      </c>
      <c r="H51">
        <f>'Water management'!H20</f>
        <v>100000</v>
      </c>
      <c r="I51" s="552">
        <f>'Water management'!I20</f>
        <v>0.6666666666666666</v>
      </c>
      <c r="J51" t="str">
        <f>'Water management'!J20</f>
        <v>Trickle irrigation</v>
      </c>
      <c r="K51" t="str">
        <f>'Water management'!K20</f>
        <v>Lot number removed</v>
      </c>
      <c r="L51">
        <f>'Water management'!N20</f>
        <v>0</v>
      </c>
      <c r="M51">
        <f>'Water management'!O20</f>
        <v>0</v>
      </c>
      <c r="N51" s="563">
        <f>'Water management'!AM20</f>
        <v>221.5371353483607</v>
      </c>
      <c r="O51">
        <f>'Water management'!AN20</f>
        <v>5</v>
      </c>
      <c r="P51">
        <f>'Water management'!AO20</f>
        <v>1.2</v>
      </c>
      <c r="Q51" s="563">
        <f>'Water management'!AP20</f>
        <v>1329.222812090164</v>
      </c>
      <c r="R51" s="564">
        <f>'Water management'!AU20</f>
        <v>0.44125000000000003</v>
      </c>
      <c r="S51" s="564">
        <f>'Water management'!AW20</f>
        <v>0.007142857142857143</v>
      </c>
      <c r="T51" s="564">
        <f>'Water management'!AY20</f>
        <v>0.01766149902345609</v>
      </c>
      <c r="U51" s="565">
        <f>'Water management'!AZ20</f>
        <v>100000</v>
      </c>
      <c r="V51">
        <f>'Water management'!BA20</f>
        <v>1.7661499023456088E-07</v>
      </c>
      <c r="W51" s="61">
        <f t="shared" si="6"/>
        <v>0.17661499023456087</v>
      </c>
      <c r="AB51" s="583">
        <f t="shared" si="5"/>
        <v>0.01766149902345609</v>
      </c>
      <c r="AC51" s="668">
        <f t="shared" si="4"/>
        <v>0.17661499023456087</v>
      </c>
      <c r="AD51" s="46">
        <f t="shared" si="3"/>
        <v>54</v>
      </c>
    </row>
    <row r="52" spans="1:30" ht="12.75">
      <c r="A52" t="s">
        <v>1087</v>
      </c>
      <c r="B52" t="s">
        <v>940</v>
      </c>
      <c r="C52" s="553">
        <f>'Water management'!C21</f>
        <v>30</v>
      </c>
      <c r="D52" s="553" t="str">
        <f>'Water management'!D21</f>
        <v>Name removed</v>
      </c>
      <c r="E52" t="str">
        <f>'Water management'!E21</f>
        <v>Cane</v>
      </c>
      <c r="F52">
        <f>'Water management'!F21</f>
        <v>3500</v>
      </c>
      <c r="G52">
        <f>'Water management'!G21</f>
        <v>0</v>
      </c>
      <c r="H52">
        <f>'Water management'!H21</f>
        <v>3500</v>
      </c>
      <c r="I52" s="552">
        <f>'Water management'!I21</f>
        <v>1</v>
      </c>
      <c r="J52" t="str">
        <f>'Water management'!J21</f>
        <v>GIS program add-on</v>
      </c>
      <c r="K52" t="str">
        <f>'Water management'!K21</f>
        <v>Lot number removed</v>
      </c>
      <c r="L52">
        <f>'Water management'!N21</f>
        <v>0</v>
      </c>
      <c r="M52">
        <f>'Water management'!O21</f>
        <v>0</v>
      </c>
      <c r="N52" s="563">
        <f>'Water management'!AM21</f>
        <v>44.307427069672144</v>
      </c>
      <c r="O52">
        <f>'Water management'!AN21</f>
        <v>2.5</v>
      </c>
      <c r="P52">
        <f>'Water management'!AO21</f>
        <v>1</v>
      </c>
      <c r="Q52" s="563">
        <f>'Water management'!AP21</f>
        <v>110.76856767418036</v>
      </c>
      <c r="R52" s="564">
        <f>'Water management'!AU21</f>
        <v>0.41791666666666666</v>
      </c>
      <c r="S52" s="564">
        <f>'Water management'!AW21</f>
        <v>0.1357142857142857</v>
      </c>
      <c r="T52" s="564">
        <f>'Water management'!AY21</f>
        <v>0.0014779395373738277</v>
      </c>
      <c r="U52" s="565">
        <f>'Water management'!AZ21</f>
        <v>3500</v>
      </c>
      <c r="V52">
        <f>'Water management'!BA21</f>
        <v>4.2226843924966506E-07</v>
      </c>
      <c r="W52" s="61">
        <f t="shared" si="6"/>
        <v>0.42226843924966506</v>
      </c>
      <c r="AB52" s="583">
        <f t="shared" si="5"/>
        <v>0.0014779395373738277</v>
      </c>
      <c r="AC52" s="668">
        <f t="shared" si="4"/>
        <v>0.42226843924966506</v>
      </c>
      <c r="AD52" s="46">
        <f t="shared" si="3"/>
        <v>35</v>
      </c>
    </row>
    <row r="53" spans="1:30" ht="12.75">
      <c r="A53" t="s">
        <v>1087</v>
      </c>
      <c r="B53" t="s">
        <v>940</v>
      </c>
      <c r="C53" s="553">
        <f>'Water management'!C22</f>
        <v>31</v>
      </c>
      <c r="D53" s="553" t="str">
        <f>'Water management'!D22</f>
        <v>Name removed</v>
      </c>
      <c r="E53" t="str">
        <f>'Water management'!E22</f>
        <v>Cane</v>
      </c>
      <c r="F53">
        <f>'Water management'!F22</f>
        <v>5500</v>
      </c>
      <c r="G53">
        <f>'Water management'!G22</f>
        <v>0</v>
      </c>
      <c r="H53">
        <f>'Water management'!H22</f>
        <v>5500</v>
      </c>
      <c r="I53" s="552">
        <f>'Water management'!I22</f>
        <v>1</v>
      </c>
      <c r="J53" t="str">
        <f>'Water management'!J22</f>
        <v>Satellite imagery</v>
      </c>
      <c r="K53" t="str">
        <f>'Water management'!K22</f>
        <v>Lot number removed</v>
      </c>
      <c r="L53">
        <f>'Water management'!N22</f>
        <v>0</v>
      </c>
      <c r="M53">
        <f>'Water management'!O22</f>
        <v>0</v>
      </c>
      <c r="N53" s="563">
        <f>'Water management'!AM22</f>
        <v>44.307427069672144</v>
      </c>
      <c r="O53">
        <f>'Water management'!AN22</f>
        <v>2.5</v>
      </c>
      <c r="P53">
        <f>'Water management'!AO22</f>
        <v>1</v>
      </c>
      <c r="Q53" s="563">
        <f>'Water management'!AP22</f>
        <v>110.76856767418036</v>
      </c>
      <c r="R53" s="564">
        <f>'Water management'!AU22</f>
        <v>0.6554166666666668</v>
      </c>
      <c r="S53" s="564">
        <f>'Water management'!AW22</f>
        <v>0.1357142857142857</v>
      </c>
      <c r="T53" s="564">
        <f>'Water management'!AY22</f>
        <v>0.0015116325156685553</v>
      </c>
      <c r="U53" s="565">
        <f>'Water management'!AZ22</f>
        <v>5500</v>
      </c>
      <c r="V53">
        <f>'Water management'!BA22</f>
        <v>2.74842275576101E-07</v>
      </c>
      <c r="W53" s="61">
        <f t="shared" si="6"/>
        <v>0.27484227557610097</v>
      </c>
      <c r="AB53" s="583">
        <f t="shared" si="5"/>
        <v>0.0015116325156685553</v>
      </c>
      <c r="AC53" s="668">
        <f t="shared" si="4"/>
        <v>0.27484227557610097</v>
      </c>
      <c r="AD53" s="46">
        <f t="shared" si="3"/>
        <v>45</v>
      </c>
    </row>
    <row r="54" spans="1:30" ht="12.75">
      <c r="A54" t="s">
        <v>1087</v>
      </c>
      <c r="B54" t="s">
        <v>940</v>
      </c>
      <c r="C54" s="553">
        <f>'Water management'!C23</f>
        <v>43</v>
      </c>
      <c r="D54" s="553" t="str">
        <f>'Water management'!D23</f>
        <v>Name removed</v>
      </c>
      <c r="E54" t="str">
        <f>'Water management'!E23</f>
        <v>Cane</v>
      </c>
      <c r="F54">
        <f>'Water management'!F23</f>
        <v>160000</v>
      </c>
      <c r="G54">
        <f>'Water management'!G23</f>
        <v>30000</v>
      </c>
      <c r="H54">
        <f>'Water management'!H23</f>
        <v>130000</v>
      </c>
      <c r="I54" s="552">
        <f>'Water management'!I23</f>
        <v>0.8125</v>
      </c>
      <c r="J54" t="str">
        <f>'Water management'!J23</f>
        <v>Centre Pivot</v>
      </c>
      <c r="K54" t="str">
        <f>'Water management'!K23</f>
        <v>Lot number removed</v>
      </c>
      <c r="L54">
        <f>'Water management'!N23</f>
        <v>0</v>
      </c>
      <c r="M54">
        <f>'Water management'!O23</f>
        <v>0</v>
      </c>
      <c r="N54" s="563">
        <f>'Water management'!AM23</f>
        <v>427.2888460860148</v>
      </c>
      <c r="O54">
        <f>'Water management'!AN23</f>
        <v>5</v>
      </c>
      <c r="P54">
        <f>'Water management'!AO23</f>
        <v>1.2</v>
      </c>
      <c r="Q54" s="563">
        <f>'Water management'!AP23</f>
        <v>2563.733076516089</v>
      </c>
      <c r="R54" s="564">
        <f>'Water management'!AU23</f>
        <v>0.6775</v>
      </c>
      <c r="S54" s="564">
        <f>'Water management'!AW23</f>
        <v>0</v>
      </c>
      <c r="T54" s="564">
        <f>'Water management'!AY23</f>
        <v>0.0348228723120475</v>
      </c>
      <c r="U54" s="565">
        <f>'Water management'!AZ23</f>
        <v>130000</v>
      </c>
      <c r="V54">
        <f>'Water management'!BA23</f>
        <v>2.678682485542115E-07</v>
      </c>
      <c r="W54" s="61">
        <f t="shared" si="6"/>
        <v>0.2678682485542115</v>
      </c>
      <c r="AB54" s="583">
        <f t="shared" si="5"/>
        <v>0.0348228723120475</v>
      </c>
      <c r="AC54" s="668">
        <f t="shared" si="4"/>
        <v>0.2678682485542115</v>
      </c>
      <c r="AD54" s="46">
        <f t="shared" si="3"/>
        <v>46</v>
      </c>
    </row>
    <row r="55" spans="1:30" ht="12.75">
      <c r="A55" t="s">
        <v>1087</v>
      </c>
      <c r="B55" t="s">
        <v>940</v>
      </c>
      <c r="C55" s="553">
        <f>'Water management'!C24</f>
        <v>45</v>
      </c>
      <c r="D55" s="553" t="str">
        <f>'Water management'!D24</f>
        <v>Name removed</v>
      </c>
      <c r="E55" t="str">
        <f>'Water management'!E24</f>
        <v>Cane</v>
      </c>
      <c r="F55">
        <f>'Water management'!F24</f>
        <v>47000</v>
      </c>
      <c r="G55">
        <f>'Water management'!G24</f>
        <v>10000</v>
      </c>
      <c r="H55">
        <f>'Water management'!H24</f>
        <v>37000</v>
      </c>
      <c r="I55" s="552">
        <f>'Water management'!I24</f>
        <v>0.7872340425531915</v>
      </c>
      <c r="J55" t="str">
        <f>'Water management'!J24</f>
        <v>irrigation and pipe work</v>
      </c>
      <c r="K55" t="str">
        <f>'Water management'!K24</f>
        <v>No lot number supplied</v>
      </c>
      <c r="L55">
        <f>'Water management'!N24</f>
        <v>0</v>
      </c>
      <c r="M55">
        <f>'Water management'!O24</f>
        <v>0</v>
      </c>
      <c r="N55" s="563">
        <f>'Water management'!AM24</f>
        <v>9.043691544967832</v>
      </c>
      <c r="O55">
        <f>'Water management'!AN24</f>
        <v>5</v>
      </c>
      <c r="P55">
        <f>'Water management'!AO24</f>
        <v>1</v>
      </c>
      <c r="Q55" s="563">
        <f>'Water management'!AP24</f>
        <v>45.218457724839155</v>
      </c>
      <c r="R55" s="564">
        <f>'Water management'!AU24</f>
        <v>0.21041666666666667</v>
      </c>
      <c r="S55" s="564">
        <f>'Water management'!AW24</f>
        <v>0.0035714285714285704</v>
      </c>
      <c r="T55" s="564">
        <f>'Water management'!AY24</f>
        <v>0.0005874338388210537</v>
      </c>
      <c r="U55" s="565">
        <f>'Water management'!AZ24</f>
        <v>37000</v>
      </c>
      <c r="V55">
        <f>'Water management'!BA24</f>
        <v>1.5876590238406855E-08</v>
      </c>
      <c r="W55" s="61">
        <f t="shared" si="6"/>
        <v>0.015876590238406856</v>
      </c>
      <c r="AB55" s="583">
        <f t="shared" si="5"/>
        <v>0.0005874338388210537</v>
      </c>
      <c r="AC55" s="668">
        <f t="shared" si="4"/>
        <v>0.015876590238406856</v>
      </c>
      <c r="AD55" s="46">
        <f t="shared" si="3"/>
        <v>78</v>
      </c>
    </row>
    <row r="56" spans="1:30" ht="12.75">
      <c r="A56" t="s">
        <v>1087</v>
      </c>
      <c r="B56" t="s">
        <v>940</v>
      </c>
      <c r="C56" s="553">
        <f>'Water management'!C25</f>
        <v>49</v>
      </c>
      <c r="D56" s="553" t="str">
        <f>'Water management'!D25</f>
        <v>Name removed</v>
      </c>
      <c r="E56" t="str">
        <f>'Water management'!E25</f>
        <v>Cane</v>
      </c>
      <c r="F56">
        <f>'Water management'!F25</f>
        <v>200000</v>
      </c>
      <c r="G56">
        <f>'Water management'!G25</f>
        <v>100000</v>
      </c>
      <c r="H56">
        <f>'Water management'!H25</f>
        <v>100000</v>
      </c>
      <c r="I56" s="552">
        <f>'Water management'!I25</f>
        <v>0.5</v>
      </c>
      <c r="J56" t="str">
        <f>'Water management'!J25</f>
        <v>Drip Irrigation</v>
      </c>
      <c r="K56" t="str">
        <f>'Water management'!K25</f>
        <v>Lot number removed</v>
      </c>
      <c r="L56">
        <f>'Water management'!N25</f>
        <v>0</v>
      </c>
      <c r="M56">
        <f>'Water management'!O25</f>
        <v>0</v>
      </c>
      <c r="N56" s="563">
        <f>'Water management'!AM25</f>
        <v>192.28813638992062</v>
      </c>
      <c r="O56">
        <f>'Water management'!AN25</f>
        <v>5</v>
      </c>
      <c r="P56">
        <f>'Water management'!AO25</f>
        <v>1.1</v>
      </c>
      <c r="Q56" s="563">
        <f>'Water management'!AP25</f>
        <v>1057.5847501445635</v>
      </c>
      <c r="R56" s="564">
        <f>'Water management'!AU25</f>
        <v>0.49583333333333335</v>
      </c>
      <c r="S56" s="564">
        <f>'Water management'!AW25</f>
        <v>0.009642857142857153</v>
      </c>
      <c r="T56" s="564">
        <f>'Water management'!AY25</f>
        <v>0.014127445835870372</v>
      </c>
      <c r="U56" s="565">
        <f>'Water management'!AZ25</f>
        <v>100000</v>
      </c>
      <c r="V56">
        <f>'Water management'!BA25</f>
        <v>1.4127445835870373E-07</v>
      </c>
      <c r="W56" s="61">
        <f t="shared" si="6"/>
        <v>0.14127445835870373</v>
      </c>
      <c r="AB56" s="583">
        <f t="shared" si="5"/>
        <v>0.014127445835870372</v>
      </c>
      <c r="AC56" s="668">
        <f t="shared" si="4"/>
        <v>0.14127445835870373</v>
      </c>
      <c r="AD56" s="46">
        <f t="shared" si="3"/>
        <v>58</v>
      </c>
    </row>
    <row r="57" spans="1:30" ht="12.75">
      <c r="A57" t="s">
        <v>1087</v>
      </c>
      <c r="B57" t="s">
        <v>940</v>
      </c>
      <c r="C57" s="553">
        <f>'Water management'!C26</f>
        <v>50</v>
      </c>
      <c r="D57" s="553" t="str">
        <f>'Water management'!D26</f>
        <v>Name removed</v>
      </c>
      <c r="E57" t="str">
        <f>'Water management'!E26</f>
        <v>Cane</v>
      </c>
      <c r="F57">
        <f>'Water management'!F26</f>
        <v>70000</v>
      </c>
      <c r="G57">
        <f>'Water management'!G26</f>
        <v>35000</v>
      </c>
      <c r="H57">
        <f>'Water management'!H26</f>
        <v>35000</v>
      </c>
      <c r="I57" s="552">
        <f>'Water management'!I26</f>
        <v>0.5</v>
      </c>
      <c r="J57" t="str">
        <f>'Water management'!J26</f>
        <v>Drip Irrigation</v>
      </c>
      <c r="K57" t="str">
        <f>'Water management'!K26</f>
        <v>Lot number removed</v>
      </c>
      <c r="L57">
        <f>'Water management'!N26</f>
        <v>0</v>
      </c>
      <c r="M57">
        <f>'Water management'!O26</f>
        <v>0</v>
      </c>
      <c r="N57" s="563">
        <f>'Water management'!AM26</f>
        <v>69.92295868724386</v>
      </c>
      <c r="O57">
        <f>'Water management'!AN26</f>
        <v>5</v>
      </c>
      <c r="P57">
        <f>'Water management'!AO26</f>
        <v>1</v>
      </c>
      <c r="Q57" s="563">
        <f>'Water management'!AP26</f>
        <v>349.6147934362193</v>
      </c>
      <c r="R57" s="564">
        <f>'Water management'!AU26</f>
        <v>0.5791666666666667</v>
      </c>
      <c r="S57" s="564">
        <f>'Water management'!AW26</f>
        <v>0.009642857142857153</v>
      </c>
      <c r="T57" s="564">
        <f>'Water management'!AY26</f>
        <v>0.004707310060370916</v>
      </c>
      <c r="U57" s="565">
        <f>'Water management'!AZ26</f>
        <v>35000</v>
      </c>
      <c r="V57">
        <f>'Water management'!BA26</f>
        <v>1.3449457315345474E-07</v>
      </c>
      <c r="W57" s="61">
        <f t="shared" si="6"/>
        <v>0.13449457315345473</v>
      </c>
      <c r="AB57" s="583">
        <f t="shared" si="5"/>
        <v>0.004707310060370916</v>
      </c>
      <c r="AC57" s="668">
        <f t="shared" si="4"/>
        <v>0.13449457315345473</v>
      </c>
      <c r="AD57" s="46">
        <f t="shared" si="3"/>
        <v>60</v>
      </c>
    </row>
    <row r="58" spans="1:30" ht="12.75">
      <c r="A58" t="s">
        <v>1087</v>
      </c>
      <c r="B58" t="s">
        <v>940</v>
      </c>
      <c r="C58" s="553">
        <f>'Water management'!C27</f>
        <v>55</v>
      </c>
      <c r="D58" s="553" t="str">
        <f>'Water management'!D27</f>
        <v>Name removed</v>
      </c>
      <c r="E58" t="str">
        <f>'Water management'!E27</f>
        <v>Cane</v>
      </c>
      <c r="F58">
        <f>'Water management'!F27</f>
        <v>11200</v>
      </c>
      <c r="G58">
        <f>'Water management'!G27</f>
        <v>5400</v>
      </c>
      <c r="H58">
        <f>'Water management'!H27</f>
        <v>5800</v>
      </c>
      <c r="I58" s="552">
        <f>'Water management'!I27</f>
        <v>0.5178571428571429</v>
      </c>
      <c r="J58" t="str">
        <f>'Water management'!J27</f>
        <v>Bedformer</v>
      </c>
      <c r="K58" t="str">
        <f>'Water management'!K27</f>
        <v>Lot number removed</v>
      </c>
      <c r="L58">
        <f>'Water management'!N27</f>
        <v>0</v>
      </c>
      <c r="M58">
        <f>'Water management'!O27</f>
        <v>0</v>
      </c>
      <c r="N58" s="563">
        <f>'Water management'!AM27</f>
        <v>13.705485943382353</v>
      </c>
      <c r="O58">
        <f>'Water management'!AN27</f>
        <v>2.5</v>
      </c>
      <c r="P58">
        <f>'Water management'!AO27</f>
        <v>1</v>
      </c>
      <c r="Q58" s="563">
        <f>'Water management'!AP27</f>
        <v>34.263714858455884</v>
      </c>
      <c r="R58" s="564">
        <f>'Water management'!AU27</f>
        <v>0.5108333333333334</v>
      </c>
      <c r="S58" s="564">
        <f>'Water management'!AW27</f>
        <v>0.004767857142857143</v>
      </c>
      <c r="T58" s="564">
        <f>'Water management'!AY27</f>
        <v>0.0004582445631706458</v>
      </c>
      <c r="U58" s="565">
        <f>'Water management'!AZ27</f>
        <v>5800</v>
      </c>
      <c r="V58">
        <f>'Water management'!BA27</f>
        <v>7.900768330528377E-08</v>
      </c>
      <c r="W58" s="61">
        <f t="shared" si="6"/>
        <v>0.07900768330528377</v>
      </c>
      <c r="AB58" s="583">
        <f t="shared" si="5"/>
        <v>0.0004582445631706458</v>
      </c>
      <c r="AC58" s="668">
        <f t="shared" si="4"/>
        <v>0.07900768330528377</v>
      </c>
      <c r="AD58" s="46">
        <f t="shared" si="3"/>
        <v>68</v>
      </c>
    </row>
    <row r="59" spans="1:30" ht="12.75">
      <c r="A59" t="s">
        <v>1087</v>
      </c>
      <c r="B59" t="s">
        <v>940</v>
      </c>
      <c r="C59" s="553">
        <f>'Water management'!C28</f>
        <v>65</v>
      </c>
      <c r="D59" s="553" t="str">
        <f>'Water management'!D28</f>
        <v>Name removed</v>
      </c>
      <c r="E59" t="str">
        <f>'Water management'!E28</f>
        <v>Cane</v>
      </c>
      <c r="F59">
        <f>'Water management'!F28</f>
        <v>275000</v>
      </c>
      <c r="G59">
        <f>'Water management'!G28</f>
        <v>225000</v>
      </c>
      <c r="H59">
        <f>'Water management'!H28</f>
        <v>50000</v>
      </c>
      <c r="I59" s="552">
        <f>'Water management'!I28</f>
        <v>0.18181818181818182</v>
      </c>
      <c r="J59" t="str">
        <f>'Water management'!J28</f>
        <v>Lateral move irrigator</v>
      </c>
      <c r="K59" t="str">
        <f>'Water management'!K28</f>
        <v>Lot number removed</v>
      </c>
      <c r="L59">
        <f>'Water management'!N28</f>
        <v>0</v>
      </c>
      <c r="M59">
        <f>'Water management'!O28</f>
        <v>0</v>
      </c>
      <c r="N59" s="563">
        <f>'Water management'!AM28</f>
        <v>83.00323793316831</v>
      </c>
      <c r="O59">
        <f>'Water management'!AN28</f>
        <v>2.5</v>
      </c>
      <c r="P59">
        <f>'Water management'!AO28</f>
        <v>1</v>
      </c>
      <c r="Q59" s="563">
        <f>'Water management'!AP28</f>
        <v>207.50809483292076</v>
      </c>
      <c r="R59" s="564">
        <f>'Water management'!AU28</f>
        <v>0.6620833333333334</v>
      </c>
      <c r="S59" s="564">
        <f>'Water management'!AW28</f>
        <v>0.07910714285714288</v>
      </c>
      <c r="T59" s="564">
        <f>'Water management'!AY28</f>
        <v>0.002825619772202034</v>
      </c>
      <c r="U59" s="565">
        <f>'Water management'!AZ28</f>
        <v>50000</v>
      </c>
      <c r="V59">
        <f>'Water management'!BA28</f>
        <v>5.651239544404068E-08</v>
      </c>
      <c r="W59" s="61">
        <f t="shared" si="6"/>
        <v>0.05651239544404068</v>
      </c>
      <c r="X59" t="str">
        <f>'Pesticide management'!M20</f>
        <v>reduce diuron by 2/3 and atrazine by 1/2</v>
      </c>
      <c r="Y59" t="s">
        <v>176</v>
      </c>
      <c r="Z59" s="61">
        <f>'Pesticide management'!AH20</f>
        <v>2.2160011369522175</v>
      </c>
      <c r="AA59">
        <f>'Pesticide management'!AT20</f>
        <v>0.042991861543582484</v>
      </c>
      <c r="AB59" s="583">
        <f t="shared" si="5"/>
        <v>0.04581748131578452</v>
      </c>
      <c r="AC59" s="668">
        <f t="shared" si="4"/>
        <v>0.9163496263156904</v>
      </c>
      <c r="AD59" s="46">
        <f t="shared" si="3"/>
        <v>25</v>
      </c>
    </row>
    <row r="60" spans="1:30" ht="12.75">
      <c r="A60" t="s">
        <v>1087</v>
      </c>
      <c r="B60" t="s">
        <v>940</v>
      </c>
      <c r="C60" s="553">
        <f>'Water management'!C29</f>
        <v>78</v>
      </c>
      <c r="D60" s="553" t="str">
        <f>'Water management'!D29</f>
        <v>Name removed</v>
      </c>
      <c r="E60" t="str">
        <f>'Water management'!E29</f>
        <v>Cane</v>
      </c>
      <c r="F60">
        <f>'Water management'!F29</f>
        <v>47000</v>
      </c>
      <c r="G60">
        <f>'Water management'!G29</f>
        <v>7000</v>
      </c>
      <c r="H60">
        <f>'Water management'!H29</f>
        <v>40000</v>
      </c>
      <c r="I60" s="552">
        <f>'Water management'!I29</f>
        <v>0.851063829787234</v>
      </c>
      <c r="J60" t="str">
        <f>'Water management'!J29</f>
        <v>Laser levelling</v>
      </c>
      <c r="K60" t="str">
        <f>'Water management'!K29</f>
        <v>Lot number removed</v>
      </c>
      <c r="L60">
        <f>'Water management'!N29</f>
        <v>0</v>
      </c>
      <c r="M60">
        <f>'Water management'!O29</f>
        <v>0</v>
      </c>
      <c r="N60" s="563">
        <f>'Water management'!AM29</f>
        <v>3.173890097931034</v>
      </c>
      <c r="O60">
        <f>'Water management'!AN29</f>
        <v>5</v>
      </c>
      <c r="P60">
        <f>'Water management'!AO29</f>
        <v>1</v>
      </c>
      <c r="Q60" s="563">
        <f>'Water management'!AP29</f>
        <v>15.86945048965517</v>
      </c>
      <c r="R60" s="564">
        <f>'Water management'!AU29</f>
        <v>0.625</v>
      </c>
      <c r="S60" s="564">
        <f>'Water management'!AW29</f>
        <v>0</v>
      </c>
      <c r="T60" s="564">
        <f>'Water management'!AY29</f>
        <v>0.00021449295439840503</v>
      </c>
      <c r="U60" s="565">
        <f>'Water management'!AZ29</f>
        <v>40000</v>
      </c>
      <c r="V60">
        <f>'Water management'!BA29</f>
        <v>5.362323859960126E-09</v>
      </c>
      <c r="W60" s="61">
        <f t="shared" si="6"/>
        <v>0.005362323859960126</v>
      </c>
      <c r="AB60" s="583">
        <f t="shared" si="5"/>
        <v>0.00021449295439840503</v>
      </c>
      <c r="AC60" s="668">
        <f t="shared" si="4"/>
        <v>0.005362323859960126</v>
      </c>
      <c r="AD60" s="46">
        <f t="shared" si="3"/>
        <v>84</v>
      </c>
    </row>
    <row r="61" spans="1:30" ht="12.75">
      <c r="A61" t="s">
        <v>1087</v>
      </c>
      <c r="B61" t="s">
        <v>940</v>
      </c>
      <c r="C61" s="553">
        <f>'Water management'!C30</f>
        <v>79</v>
      </c>
      <c r="D61" s="553" t="str">
        <f>'Water management'!D30</f>
        <v>Name removed</v>
      </c>
      <c r="E61" t="str">
        <f>'Water management'!E30</f>
        <v>Cane</v>
      </c>
      <c r="F61">
        <f>'Water management'!F30</f>
        <v>7000</v>
      </c>
      <c r="G61">
        <f>'Water management'!G30</f>
        <v>2000</v>
      </c>
      <c r="H61">
        <f>'Water management'!H30</f>
        <v>5000</v>
      </c>
      <c r="I61" s="552">
        <f>'Water management'!I30</f>
        <v>0.7142857142857143</v>
      </c>
      <c r="J61" t="str">
        <f>'Water management'!J30</f>
        <v>overflow prevention</v>
      </c>
      <c r="K61" t="str">
        <f>'Water management'!K30</f>
        <v>Lot number removed</v>
      </c>
      <c r="L61">
        <f>'Water management'!N30</f>
        <v>0</v>
      </c>
      <c r="M61">
        <f>'Water management'!O30</f>
        <v>0</v>
      </c>
      <c r="N61" s="563">
        <f>'Water management'!AM30</f>
        <v>204.85264380854886</v>
      </c>
      <c r="O61">
        <f>'Water management'!AN30</f>
        <v>5</v>
      </c>
      <c r="P61">
        <f>'Water management'!AO30</f>
        <v>1</v>
      </c>
      <c r="Q61" s="563">
        <f>'Water management'!AP30</f>
        <v>1024.2632190427444</v>
      </c>
      <c r="R61" s="564">
        <f>'Water management'!AU30</f>
        <v>0.3016666666666667</v>
      </c>
      <c r="S61" s="564">
        <f>'Water management'!AW30</f>
        <v>0.0008928571428571428</v>
      </c>
      <c r="T61" s="564">
        <f>'Water management'!AY30</f>
        <v>0.01342334221586568</v>
      </c>
      <c r="U61" s="565">
        <f>'Water management'!AZ30</f>
        <v>5000</v>
      </c>
      <c r="V61">
        <f>'Water management'!BA30</f>
        <v>2.684668443173136E-06</v>
      </c>
      <c r="W61" s="61">
        <f t="shared" si="6"/>
        <v>2.684668443173136</v>
      </c>
      <c r="AB61" s="583">
        <f t="shared" si="5"/>
        <v>0.01342334221586568</v>
      </c>
      <c r="AC61" s="668">
        <f t="shared" si="4"/>
        <v>2.684668443173136</v>
      </c>
      <c r="AD61" s="46">
        <f t="shared" si="3"/>
        <v>14</v>
      </c>
    </row>
    <row r="62" spans="1:30" ht="12.75">
      <c r="A62" t="s">
        <v>1087</v>
      </c>
      <c r="B62" t="s">
        <v>940</v>
      </c>
      <c r="C62" s="553">
        <f>'Water management'!C31</f>
        <v>80</v>
      </c>
      <c r="D62" s="553" t="str">
        <f>'Water management'!D31</f>
        <v>Name removed</v>
      </c>
      <c r="E62" t="str">
        <f>'Water management'!E31</f>
        <v>Cane</v>
      </c>
      <c r="F62">
        <f>'Water management'!F31</f>
        <v>70000</v>
      </c>
      <c r="G62">
        <f>'Water management'!G31</f>
        <v>50000</v>
      </c>
      <c r="H62">
        <f>'Water management'!H31</f>
        <v>20000</v>
      </c>
      <c r="I62" s="552">
        <f>'Water management'!I31</f>
        <v>0.2857142857142857</v>
      </c>
      <c r="J62" t="str">
        <f>'Water management'!J31</f>
        <v>GPS bedforming and harvest</v>
      </c>
      <c r="K62" t="str">
        <f>'Water management'!K31</f>
        <v>No lot number supplied</v>
      </c>
      <c r="L62">
        <f>'Water management'!N31</f>
        <v>0</v>
      </c>
      <c r="M62">
        <f>'Water management'!O31</f>
        <v>0</v>
      </c>
      <c r="N62" s="563">
        <f>'Water management'!AM31</f>
        <v>17.39611885697049</v>
      </c>
      <c r="O62">
        <f>'Water management'!AN31</f>
        <v>2.5</v>
      </c>
      <c r="P62">
        <f>'Water management'!AO31</f>
        <v>1</v>
      </c>
      <c r="Q62" s="563">
        <f>'Water management'!AP31</f>
        <v>43.49029714242622</v>
      </c>
      <c r="R62" s="564">
        <f>'Water management'!AU31</f>
        <v>0.5304166666666668</v>
      </c>
      <c r="S62" s="564">
        <f>'Water management'!AW31</f>
        <v>0.08964285714285715</v>
      </c>
      <c r="T62" s="564">
        <f>'Water management'!AY31</f>
        <v>0.0005851973554110363</v>
      </c>
      <c r="U62" s="565">
        <f>'Water management'!AZ31</f>
        <v>20000</v>
      </c>
      <c r="V62">
        <f>'Water management'!BA31</f>
        <v>2.9259867770551814E-08</v>
      </c>
      <c r="W62" s="61">
        <f t="shared" si="6"/>
        <v>0.029259867770551815</v>
      </c>
      <c r="X62" s="552" t="str">
        <f>'Nutrient management'!J36</f>
        <v>variable rate fertilizer</v>
      </c>
      <c r="Y62" s="552" t="s">
        <v>177</v>
      </c>
      <c r="Z62" s="585">
        <f>'Nutrient management'!AY36</f>
        <v>344.9096819819428</v>
      </c>
      <c r="AA62">
        <f>'Nutrient management'!BH36</f>
        <v>0.0044984602445943414</v>
      </c>
      <c r="AB62" s="583">
        <f t="shared" si="5"/>
        <v>0.005083657600005378</v>
      </c>
      <c r="AC62" s="668">
        <f t="shared" si="4"/>
        <v>0.2541828800002689</v>
      </c>
      <c r="AD62" s="46">
        <f t="shared" si="3"/>
        <v>49</v>
      </c>
    </row>
    <row r="63" spans="1:30" ht="12.75">
      <c r="A63" t="s">
        <v>1087</v>
      </c>
      <c r="B63" t="s">
        <v>940</v>
      </c>
      <c r="C63" s="553">
        <f>'Water management'!C32</f>
        <v>85</v>
      </c>
      <c r="D63" s="553" t="str">
        <f>'Water management'!D32</f>
        <v>Name removed</v>
      </c>
      <c r="E63" t="str">
        <f>'Water management'!E32</f>
        <v>Cane</v>
      </c>
      <c r="F63">
        <f>'Water management'!F32</f>
        <v>3000</v>
      </c>
      <c r="G63">
        <f>'Water management'!G32</f>
        <v>1500</v>
      </c>
      <c r="H63">
        <f>'Water management'!H32</f>
        <v>1500</v>
      </c>
      <c r="I63" s="552">
        <f>'Water management'!I32</f>
        <v>0.5</v>
      </c>
      <c r="J63" t="str">
        <f>'Water management'!J32</f>
        <v>laptop computer</v>
      </c>
      <c r="K63">
        <f>'Water management'!K32</f>
        <v>0</v>
      </c>
      <c r="L63">
        <f>'Water management'!N32</f>
        <v>0</v>
      </c>
      <c r="M63">
        <f>'Water management'!O32</f>
        <v>0</v>
      </c>
      <c r="N63" s="563">
        <f>'Water management'!AM32</f>
        <v>0.2969571931847154</v>
      </c>
      <c r="O63">
        <f>'Water management'!AN32</f>
        <v>2.5</v>
      </c>
      <c r="P63">
        <f>'Water management'!AO32</f>
        <v>1</v>
      </c>
      <c r="Q63" s="563">
        <f>'Water management'!AP32</f>
        <v>0.7423929829617886</v>
      </c>
      <c r="R63" s="564">
        <f>'Water management'!AU32</f>
        <v>0.3279166666666667</v>
      </c>
      <c r="S63" s="564">
        <f>'Water management'!AW32</f>
        <v>0.4764285714285714</v>
      </c>
      <c r="T63" s="564">
        <f>'Water management'!AY32</f>
        <v>9.986033121624262E-06</v>
      </c>
      <c r="U63" s="565">
        <f>'Water management'!AZ32</f>
        <v>1500</v>
      </c>
      <c r="V63">
        <f>'Water management'!BA32</f>
        <v>6.657355414416175E-09</v>
      </c>
      <c r="W63" s="61">
        <f t="shared" si="6"/>
        <v>0.006657355414416175</v>
      </c>
      <c r="AB63" s="583">
        <f t="shared" si="5"/>
        <v>9.986033121624262E-06</v>
      </c>
      <c r="AC63" s="668">
        <f t="shared" si="4"/>
        <v>0.006657355414416175</v>
      </c>
      <c r="AD63" s="46">
        <f t="shared" si="3"/>
        <v>81</v>
      </c>
    </row>
    <row r="64" spans="1:30" ht="12.75">
      <c r="A64" t="s">
        <v>1087</v>
      </c>
      <c r="B64" t="s">
        <v>940</v>
      </c>
      <c r="C64" s="553">
        <f>'Water management'!C33</f>
        <v>87</v>
      </c>
      <c r="D64" s="553" t="str">
        <f>'Water management'!D33</f>
        <v>Name removed</v>
      </c>
      <c r="E64" t="str">
        <f>'Water management'!E33</f>
        <v>Cane</v>
      </c>
      <c r="F64">
        <f>'Water management'!F33</f>
        <v>25000</v>
      </c>
      <c r="G64">
        <f>'Water management'!G33</f>
        <v>15000</v>
      </c>
      <c r="H64">
        <f>'Water management'!H33</f>
        <v>10000</v>
      </c>
      <c r="I64" s="552">
        <f>'Water management'!I33</f>
        <v>0.4</v>
      </c>
      <c r="J64" t="str">
        <f>'Water management'!J33</f>
        <v>laser levelling min till +GCTB</v>
      </c>
      <c r="K64">
        <f>'Water management'!K33</f>
        <v>0</v>
      </c>
      <c r="L64">
        <f>'Water management'!N33</f>
        <v>0</v>
      </c>
      <c r="M64">
        <f>'Water management'!O33</f>
        <v>0</v>
      </c>
      <c r="N64" s="563">
        <f>'Water management'!AM33</f>
        <v>4.080075965346534</v>
      </c>
      <c r="O64">
        <f>'Water management'!AN33</f>
        <v>1</v>
      </c>
      <c r="P64">
        <f>'Water management'!AO33</f>
        <v>1</v>
      </c>
      <c r="Q64" s="563">
        <f>'Water management'!AP33</f>
        <v>4.080075965346534</v>
      </c>
      <c r="R64" s="564">
        <f>'Water management'!AU33</f>
        <v>0.23875333333333332</v>
      </c>
      <c r="S64" s="564">
        <f>'Water management'!AW33</f>
        <v>0.023928571428571428</v>
      </c>
      <c r="T64" s="564">
        <f>'Water management'!AY33</f>
        <v>5.320553627283157E-05</v>
      </c>
      <c r="U64" s="565">
        <f>'Water management'!AZ33</f>
        <v>10000</v>
      </c>
      <c r="V64">
        <f>'Water management'!BA33</f>
        <v>5.320553627283157E-09</v>
      </c>
      <c r="W64" s="61">
        <f t="shared" si="6"/>
        <v>0.005320553627283157</v>
      </c>
      <c r="AB64" s="583">
        <f>(T64+AA64)</f>
        <v>5.320553627283157E-05</v>
      </c>
      <c r="AC64" s="668">
        <f>AB64/U64*1000000</f>
        <v>0.005320553627283157</v>
      </c>
      <c r="AD64" s="46">
        <f t="shared" si="3"/>
        <v>85</v>
      </c>
    </row>
    <row r="65" spans="1:30" ht="12.75">
      <c r="A65" t="s">
        <v>40</v>
      </c>
      <c r="B65" t="s">
        <v>940</v>
      </c>
      <c r="C65" s="553">
        <f>'Nutrient management'!C12</f>
        <v>8</v>
      </c>
      <c r="D65" s="553" t="str">
        <f>'Nutrient management'!D12</f>
        <v>Name removed</v>
      </c>
      <c r="E65" t="str">
        <f>'Nutrient management'!E12</f>
        <v>Cane</v>
      </c>
      <c r="F65" s="554">
        <f>'Nutrient management'!F12</f>
        <v>25000</v>
      </c>
      <c r="G65" s="554">
        <f>'Nutrient management'!G12</f>
        <v>10000</v>
      </c>
      <c r="H65" s="554">
        <f>'Nutrient management'!H12</f>
        <v>15000</v>
      </c>
      <c r="I65" s="552">
        <f>'Nutrient management'!I12</f>
        <v>0.6</v>
      </c>
      <c r="J65" t="str">
        <f>'Nutrient management'!J12</f>
        <v>Legume Planter</v>
      </c>
      <c r="K65" t="str">
        <f>'Nutrient management'!K12</f>
        <v>Lot number removed</v>
      </c>
      <c r="L65" s="553">
        <f>'Nutrient management'!N12</f>
        <v>0</v>
      </c>
      <c r="M65" s="553">
        <f>'Nutrient management'!O12</f>
        <v>0</v>
      </c>
      <c r="N65" s="563">
        <f>'Nutrient management'!AV12</f>
        <v>195.2253003279213</v>
      </c>
      <c r="O65">
        <f>'Nutrient management'!AW12</f>
        <v>2.5</v>
      </c>
      <c r="P65">
        <f>'Nutrient management'!AX12</f>
        <v>1</v>
      </c>
      <c r="Q65" s="563">
        <f>'Nutrient management'!AY12</f>
        <v>488.0632508198033</v>
      </c>
      <c r="R65" s="564">
        <f>'Nutrient management'!BD12</f>
        <v>0.6483333333333333</v>
      </c>
      <c r="S65" s="564">
        <f>'Nutrient management'!BF12</f>
        <v>0.002499999999999976</v>
      </c>
      <c r="T65" s="564">
        <f>'Nutrient management'!BH12</f>
        <v>0.006612021135990776</v>
      </c>
      <c r="U65" s="565">
        <f>'Nutrient management'!BI12</f>
        <v>15000</v>
      </c>
      <c r="V65">
        <f>'Nutrient management'!BJ12</f>
        <v>4.4080140906605174E-07</v>
      </c>
      <c r="W65" s="61">
        <f t="shared" si="6"/>
        <v>0.44080140906605175</v>
      </c>
      <c r="AB65" s="583">
        <f t="shared" si="5"/>
        <v>0.006612021135990776</v>
      </c>
      <c r="AC65" s="668">
        <f t="shared" si="4"/>
        <v>0.44080140906605175</v>
      </c>
      <c r="AD65" s="46">
        <f t="shared" si="3"/>
        <v>34</v>
      </c>
    </row>
    <row r="66" spans="1:30" ht="12.75">
      <c r="A66" t="s">
        <v>40</v>
      </c>
      <c r="B66" t="s">
        <v>940</v>
      </c>
      <c r="C66" s="553">
        <f>'Nutrient management'!C13</f>
        <v>39</v>
      </c>
      <c r="D66" s="553" t="str">
        <f>'Nutrient management'!D13</f>
        <v>Name removed</v>
      </c>
      <c r="E66" t="str">
        <f>'Nutrient management'!E13</f>
        <v>Cane</v>
      </c>
      <c r="F66" s="554">
        <f>'Nutrient management'!F13</f>
        <v>17000</v>
      </c>
      <c r="G66" s="554">
        <f>'Nutrient management'!G13</f>
        <v>10000</v>
      </c>
      <c r="H66" s="554">
        <f>'Nutrient management'!H13</f>
        <v>7000</v>
      </c>
      <c r="I66" s="552">
        <f>'Nutrient management'!I13</f>
        <v>0.4117647058823529</v>
      </c>
      <c r="J66" t="str">
        <f>'Nutrient management'!J13</f>
        <v>Legume Planter</v>
      </c>
      <c r="K66" t="str">
        <f>'Nutrient management'!K13</f>
        <v>Lot number removed</v>
      </c>
      <c r="L66" s="553">
        <f>'Nutrient management'!N13</f>
        <v>0</v>
      </c>
      <c r="M66" s="553">
        <f>'Nutrient management'!O13</f>
        <v>0</v>
      </c>
      <c r="N66" s="563">
        <f>'Nutrient management'!AV13</f>
        <v>942.5275280539765</v>
      </c>
      <c r="O66">
        <f>'Nutrient management'!AW13</f>
        <v>2.5</v>
      </c>
      <c r="P66">
        <f>'Nutrient management'!AX13</f>
        <v>1</v>
      </c>
      <c r="Q66" s="563">
        <f>'Nutrient management'!AY13</f>
        <v>2356.3188201349412</v>
      </c>
      <c r="R66" s="564">
        <f>'Nutrient management'!BD13</f>
        <v>0.57375</v>
      </c>
      <c r="S66" s="564">
        <f>'Nutrient management'!BF13</f>
        <v>0.008124999999999997</v>
      </c>
      <c r="T66" s="564">
        <f>'Nutrient management'!BH13</f>
        <v>0.031707477285828616</v>
      </c>
      <c r="U66" s="565">
        <f>'Nutrient management'!BI13</f>
        <v>7000</v>
      </c>
      <c r="V66">
        <f>'Nutrient management'!BJ13</f>
        <v>4.529639612261231E-06</v>
      </c>
      <c r="W66" s="61">
        <f t="shared" si="6"/>
        <v>4.529639612261231</v>
      </c>
      <c r="AB66" s="583">
        <f t="shared" si="5"/>
        <v>0.031707477285828616</v>
      </c>
      <c r="AC66" s="668">
        <f t="shared" si="4"/>
        <v>4.529639612261231</v>
      </c>
      <c r="AD66" s="46">
        <f t="shared" si="3"/>
        <v>11</v>
      </c>
    </row>
    <row r="67" spans="1:30" ht="12.75">
      <c r="A67" t="s">
        <v>40</v>
      </c>
      <c r="B67" t="s">
        <v>940</v>
      </c>
      <c r="C67" s="553">
        <f>'Nutrient management'!C14</f>
        <v>47</v>
      </c>
      <c r="D67" s="553" t="str">
        <f>'Nutrient management'!D14</f>
        <v>Name removed</v>
      </c>
      <c r="E67" t="str">
        <f>'Nutrient management'!E14</f>
        <v>Cane</v>
      </c>
      <c r="F67" s="554">
        <f>'Nutrient management'!F14</f>
        <v>20000</v>
      </c>
      <c r="G67" s="554">
        <f>'Nutrient management'!G14</f>
        <v>10000</v>
      </c>
      <c r="H67" s="554">
        <f>'Nutrient management'!H14</f>
        <v>10000</v>
      </c>
      <c r="I67" s="552">
        <f>'Nutrient management'!I14</f>
        <v>0.5</v>
      </c>
      <c r="J67" t="str">
        <f>'Nutrient management'!J14</f>
        <v>Stool Splitter</v>
      </c>
      <c r="K67" t="str">
        <f>'Nutrient management'!K14</f>
        <v>Lot number removed</v>
      </c>
      <c r="L67" s="553">
        <f>'Nutrient management'!N14</f>
        <v>0</v>
      </c>
      <c r="M67" s="553">
        <f>'Nutrient management'!O14</f>
        <v>0</v>
      </c>
      <c r="N67" s="563">
        <f>'Nutrient management'!AV14</f>
        <v>209.78877468922425</v>
      </c>
      <c r="O67">
        <f>'Nutrient management'!AW14</f>
        <v>2.5</v>
      </c>
      <c r="P67">
        <f>'Nutrient management'!AX14</f>
        <v>1</v>
      </c>
      <c r="Q67" s="563">
        <f>'Nutrient management'!AY14</f>
        <v>524.4719367230606</v>
      </c>
      <c r="R67" s="564">
        <f>'Nutrient management'!BD14</f>
        <v>0.35375</v>
      </c>
      <c r="S67" s="564">
        <f>'Nutrient management'!BF14</f>
        <v>0.0875</v>
      </c>
      <c r="T67" s="564">
        <f>'Nutrient management'!BH14</f>
        <v>0.006938059616268722</v>
      </c>
      <c r="U67" s="565">
        <f>'Nutrient management'!BI14</f>
        <v>10000</v>
      </c>
      <c r="V67">
        <f>'Nutrient management'!BJ14</f>
        <v>6.938059616268722E-07</v>
      </c>
      <c r="W67" s="61">
        <f t="shared" si="6"/>
        <v>0.6938059616268722</v>
      </c>
      <c r="X67" t="str">
        <f>'Pesticide management'!M19</f>
        <v>atrazine to zero</v>
      </c>
      <c r="Y67" t="s">
        <v>176</v>
      </c>
      <c r="Z67" s="61">
        <f>'Pesticide management'!AH19</f>
        <v>0.7418461432601665</v>
      </c>
      <c r="AA67">
        <f>'Pesticide management'!AT19</f>
        <v>0.003657312330662704</v>
      </c>
      <c r="AB67" s="583">
        <f aca="true" t="shared" si="7" ref="AB67:AB79">(T67+AA67)</f>
        <v>0.010595371946931425</v>
      </c>
      <c r="AC67" s="668">
        <f aca="true" t="shared" si="8" ref="AC67:AC79">AB67/U67*1000000</f>
        <v>1.0595371946931424</v>
      </c>
      <c r="AD67" s="46">
        <f aca="true" t="shared" si="9" ref="AD67:AD88">RANK(AC67,$AC$2:$AC$88,0)</f>
        <v>20</v>
      </c>
    </row>
    <row r="68" spans="1:30" ht="12.75">
      <c r="A68" t="s">
        <v>40</v>
      </c>
      <c r="B68" t="s">
        <v>940</v>
      </c>
      <c r="C68" s="553">
        <f>'Nutrient management'!C15</f>
        <v>56</v>
      </c>
      <c r="D68" s="553" t="str">
        <f>'Nutrient management'!D15</f>
        <v>Name removed</v>
      </c>
      <c r="E68" t="str">
        <f>'Nutrient management'!E15</f>
        <v>Cane</v>
      </c>
      <c r="F68" s="554">
        <f>'Nutrient management'!F15</f>
        <v>54000</v>
      </c>
      <c r="G68" s="554">
        <f>'Nutrient management'!G15</f>
        <v>36000</v>
      </c>
      <c r="H68" s="554">
        <f>'Nutrient management'!H15</f>
        <v>18000</v>
      </c>
      <c r="I68" s="552">
        <f>'Nutrient management'!I15</f>
        <v>0.3333333333333333</v>
      </c>
      <c r="J68" t="str">
        <f>'Nutrient management'!J15</f>
        <v>Legume Planter</v>
      </c>
      <c r="K68" t="str">
        <f>'Nutrient management'!K15</f>
        <v>Lot number removed</v>
      </c>
      <c r="L68" s="553">
        <f>'Nutrient management'!N15</f>
        <v>0</v>
      </c>
      <c r="M68" s="553">
        <f>'Nutrient management'!O15</f>
        <v>0</v>
      </c>
      <c r="N68" s="563">
        <f>'Nutrient management'!AV15</f>
        <v>413.45160078529494</v>
      </c>
      <c r="O68">
        <f>'Nutrient management'!AW15</f>
        <v>2.5</v>
      </c>
      <c r="P68">
        <f>'Nutrient management'!AX15</f>
        <v>1</v>
      </c>
      <c r="Q68" s="563">
        <f>'Nutrient management'!AY15</f>
        <v>1033.6290019632374</v>
      </c>
      <c r="R68" s="564">
        <f>'Nutrient management'!BD15</f>
        <v>0.5108333333333334</v>
      </c>
      <c r="S68" s="564">
        <f>'Nutrient management'!BF15</f>
        <v>0.009000000000000001</v>
      </c>
      <c r="T68" s="564">
        <f>'Nutrient management'!BH15</f>
        <v>0.01382672828407445</v>
      </c>
      <c r="U68" s="565">
        <f>'Nutrient management'!BI15</f>
        <v>18000</v>
      </c>
      <c r="V68">
        <f>'Nutrient management'!BJ15</f>
        <v>7.681515713374695E-07</v>
      </c>
      <c r="W68" s="61">
        <f t="shared" si="6"/>
        <v>0.7681515713374695</v>
      </c>
      <c r="AB68" s="583">
        <f t="shared" si="7"/>
        <v>0.01382672828407445</v>
      </c>
      <c r="AC68" s="668">
        <f t="shared" si="8"/>
        <v>0.7681515713374695</v>
      </c>
      <c r="AD68" s="46">
        <f t="shared" si="9"/>
        <v>26</v>
      </c>
    </row>
    <row r="69" spans="1:30" ht="12.75">
      <c r="A69" t="s">
        <v>40</v>
      </c>
      <c r="B69" t="s">
        <v>940</v>
      </c>
      <c r="C69" s="553">
        <f>'Nutrient management'!C16</f>
        <v>59</v>
      </c>
      <c r="D69" s="553" t="str">
        <f>'Nutrient management'!D16</f>
        <v>Name removed</v>
      </c>
      <c r="E69" t="str">
        <f>'Nutrient management'!E16</f>
        <v>Cane</v>
      </c>
      <c r="F69" s="554">
        <f>'Nutrient management'!F16</f>
        <v>12000</v>
      </c>
      <c r="G69" s="554">
        <f>'Nutrient management'!G16</f>
        <v>10000</v>
      </c>
      <c r="H69" s="554">
        <f>'Nutrient management'!H16</f>
        <v>2000</v>
      </c>
      <c r="I69" s="552">
        <f>'Nutrient management'!I16</f>
        <v>0.16666666666666666</v>
      </c>
      <c r="J69" t="str">
        <f>'Nutrient management'!J16</f>
        <v>Strip trials</v>
      </c>
      <c r="K69" t="str">
        <f>'Nutrient management'!K16</f>
        <v>Lot number removed</v>
      </c>
      <c r="L69" s="553">
        <f>'Nutrient management'!N16</f>
        <v>0</v>
      </c>
      <c r="M69" s="553">
        <f>'Nutrient management'!O16</f>
        <v>0</v>
      </c>
      <c r="N69" s="563">
        <f>'Nutrient management'!AV16</f>
        <v>30.222098230999848</v>
      </c>
      <c r="O69">
        <f>'Nutrient management'!AW16</f>
        <v>1</v>
      </c>
      <c r="P69">
        <f>'Nutrient management'!AX16</f>
        <v>1</v>
      </c>
      <c r="Q69" s="563">
        <f>'Nutrient management'!AY16</f>
        <v>30.222098230999848</v>
      </c>
      <c r="R69" s="564">
        <f>'Nutrient management'!BD16</f>
        <v>0.5420833333333335</v>
      </c>
      <c r="S69" s="564">
        <f>'Nutrient management'!BF16</f>
        <v>0.009375</v>
      </c>
      <c r="T69" s="564">
        <f>'Nutrient management'!BH16</f>
        <v>0.00040548686379242673</v>
      </c>
      <c r="U69" s="565">
        <f>'Nutrient management'!BI16</f>
        <v>2000</v>
      </c>
      <c r="V69">
        <f>'Nutrient management'!BJ16</f>
        <v>2.0274343189621335E-07</v>
      </c>
      <c r="W69" s="61">
        <f t="shared" si="6"/>
        <v>0.20274343189621336</v>
      </c>
      <c r="AB69" s="583">
        <f t="shared" si="7"/>
        <v>0.00040548686379242673</v>
      </c>
      <c r="AC69" s="668">
        <f t="shared" si="8"/>
        <v>0.20274343189621336</v>
      </c>
      <c r="AD69" s="46">
        <f t="shared" si="9"/>
        <v>53</v>
      </c>
    </row>
    <row r="70" spans="1:30" ht="12.75">
      <c r="A70" t="s">
        <v>40</v>
      </c>
      <c r="B70" t="s">
        <v>940</v>
      </c>
      <c r="C70" s="553">
        <f>'Nutrient management'!C17</f>
        <v>64</v>
      </c>
      <c r="D70" s="553" t="str">
        <f>'Nutrient management'!D17</f>
        <v>Name removed</v>
      </c>
      <c r="E70" t="str">
        <f>'Nutrient management'!E17</f>
        <v>Cane</v>
      </c>
      <c r="F70" s="554">
        <f>'Nutrient management'!F17</f>
        <v>3311.25</v>
      </c>
      <c r="G70" s="554">
        <f>'Nutrient management'!G17</f>
        <v>500</v>
      </c>
      <c r="H70" s="554">
        <f>'Nutrient management'!H17</f>
        <v>2811.25</v>
      </c>
      <c r="I70" s="552">
        <f>'Nutrient management'!I17</f>
        <v>0.8489996224990563</v>
      </c>
      <c r="J70" t="str">
        <f>'Nutrient management'!J17</f>
        <v>EM mapping</v>
      </c>
      <c r="K70" t="str">
        <f>'Nutrient management'!K17</f>
        <v>Lot number removed</v>
      </c>
      <c r="L70" s="553">
        <f>'Nutrient management'!N17</f>
        <v>0</v>
      </c>
      <c r="M70" s="553">
        <f>'Nutrient management'!O17</f>
        <v>0</v>
      </c>
      <c r="N70" s="563">
        <f>'Nutrient management'!AV17</f>
        <v>420.26728410891076</v>
      </c>
      <c r="O70">
        <f>'Nutrient management'!AW17</f>
        <v>1</v>
      </c>
      <c r="P70">
        <f>'Nutrient management'!AX17</f>
        <v>1</v>
      </c>
      <c r="Q70" s="563">
        <f>'Nutrient management'!AY17</f>
        <v>420.26728410891076</v>
      </c>
      <c r="R70" s="564">
        <f>'Nutrient management'!BD17</f>
        <v>0.3741666666666667</v>
      </c>
      <c r="S70" s="564">
        <f>'Nutrient management'!BF17</f>
        <v>0.23562499999999992</v>
      </c>
      <c r="T70" s="564">
        <f>'Nutrient management'!BH17</f>
        <v>0.005611611997161298</v>
      </c>
      <c r="U70" s="565">
        <f>'Nutrient management'!BI17</f>
        <v>2811.25</v>
      </c>
      <c r="V70">
        <f>'Nutrient management'!BJ17</f>
        <v>1.9961269887634675E-06</v>
      </c>
      <c r="W70" s="61">
        <f t="shared" si="6"/>
        <v>1.9961269887634676</v>
      </c>
      <c r="AB70" s="583">
        <f t="shared" si="7"/>
        <v>0.005611611997161298</v>
      </c>
      <c r="AC70" s="668">
        <f t="shared" si="8"/>
        <v>1.9961269887634676</v>
      </c>
      <c r="AD70" s="46">
        <f t="shared" si="9"/>
        <v>15</v>
      </c>
    </row>
    <row r="71" spans="1:30" ht="12.75">
      <c r="A71" t="s">
        <v>40</v>
      </c>
      <c r="B71" t="s">
        <v>940</v>
      </c>
      <c r="C71" s="553">
        <f>'Nutrient management'!C18</f>
        <v>69</v>
      </c>
      <c r="D71" s="553" t="str">
        <f>'Nutrient management'!D18</f>
        <v>Name removed</v>
      </c>
      <c r="E71" t="str">
        <f>'Nutrient management'!E18</f>
        <v>Cane</v>
      </c>
      <c r="F71" s="554">
        <f>'Nutrient management'!F18</f>
        <v>25000</v>
      </c>
      <c r="G71" s="554">
        <f>'Nutrient management'!G18</f>
        <v>5000</v>
      </c>
      <c r="H71" s="554">
        <f>'Nutrient management'!H18</f>
        <v>20000</v>
      </c>
      <c r="I71" s="552">
        <f>'Nutrient management'!I18</f>
        <v>0.8</v>
      </c>
      <c r="J71" t="str">
        <f>'Nutrient management'!J18</f>
        <v>Stool Splitter and trash blanket</v>
      </c>
      <c r="K71" t="str">
        <f>'Nutrient management'!K18</f>
        <v>Lot number removed</v>
      </c>
      <c r="L71" s="553">
        <f>'Nutrient management'!N18</f>
        <v>0</v>
      </c>
      <c r="M71" s="553">
        <f>'Nutrient management'!O18</f>
        <v>0</v>
      </c>
      <c r="N71" s="563">
        <f>'Nutrient management'!AV18</f>
        <v>381.0055911259901</v>
      </c>
      <c r="O71">
        <f>'Nutrient management'!AW18</f>
        <v>2.5</v>
      </c>
      <c r="P71">
        <f>'Nutrient management'!AX18</f>
        <v>1</v>
      </c>
      <c r="Q71" s="563">
        <f>'Nutrient management'!AY18</f>
        <v>952.5139778149753</v>
      </c>
      <c r="R71" s="564">
        <f>'Nutrient management'!BD18</f>
        <v>0.49541666666666667</v>
      </c>
      <c r="S71" s="564">
        <f>'Nutrient management'!BF18</f>
        <v>0.036458333333333336</v>
      </c>
      <c r="T71" s="564">
        <f>'Nutrient management'!BH18</f>
        <v>0.012740433574051024</v>
      </c>
      <c r="U71" s="565">
        <f>'Nutrient management'!BI18</f>
        <v>20000</v>
      </c>
      <c r="V71">
        <f>'Nutrient management'!BJ18</f>
        <v>6.370216787025512E-07</v>
      </c>
      <c r="W71" s="61">
        <f t="shared" si="6"/>
        <v>0.6370216787025512</v>
      </c>
      <c r="AB71" s="583">
        <f t="shared" si="7"/>
        <v>0.012740433574051024</v>
      </c>
      <c r="AC71" s="668">
        <f t="shared" si="8"/>
        <v>0.6370216787025512</v>
      </c>
      <c r="AD71" s="46">
        <f t="shared" si="9"/>
        <v>31</v>
      </c>
    </row>
    <row r="72" spans="1:30" ht="12.75">
      <c r="A72" t="s">
        <v>40</v>
      </c>
      <c r="B72" t="s">
        <v>940</v>
      </c>
      <c r="C72" s="553">
        <f>'Nutrient management'!C19</f>
        <v>82</v>
      </c>
      <c r="D72" s="553" t="str">
        <f>'Nutrient management'!D19</f>
        <v>Name removed</v>
      </c>
      <c r="E72" t="str">
        <f>'Nutrient management'!E19</f>
        <v>cane</v>
      </c>
      <c r="F72" s="554">
        <f>'Nutrient management'!F19</f>
        <v>18000</v>
      </c>
      <c r="G72" s="554">
        <f>'Nutrient management'!G19</f>
        <v>8000</v>
      </c>
      <c r="H72" s="554">
        <f>'Nutrient management'!H19</f>
        <v>10000</v>
      </c>
      <c r="I72" s="552">
        <f>'Nutrient management'!I19</f>
        <v>0.5555555555555556</v>
      </c>
      <c r="J72" t="str">
        <f>'Nutrient management'!J19</f>
        <v>Em mapping, yield monitor and variable rate fert applicator</v>
      </c>
      <c r="K72" t="str">
        <f>'Nutrient management'!K19</f>
        <v>No lot number supplied</v>
      </c>
      <c r="L72" s="553">
        <f>'Nutrient management'!N19</f>
        <v>0</v>
      </c>
      <c r="M72" s="553">
        <f>'Nutrient management'!O19</f>
        <v>0</v>
      </c>
      <c r="N72" s="563">
        <f>'Nutrient management'!AV19</f>
        <v>240.8813126315373</v>
      </c>
      <c r="O72">
        <f>'Nutrient management'!AW19</f>
        <v>1</v>
      </c>
      <c r="P72">
        <f>'Nutrient management'!AX19</f>
        <v>1</v>
      </c>
      <c r="Q72" s="563">
        <f>'Nutrient management'!AY19</f>
        <v>240.8813126315373</v>
      </c>
      <c r="R72" s="564">
        <f>'Nutrient management'!BD19</f>
        <v>0.50875</v>
      </c>
      <c r="S72" s="564">
        <f>'Nutrient management'!BF19</f>
        <v>0.012395833333333309</v>
      </c>
      <c r="T72" s="564">
        <f>'Nutrient management'!BH19</f>
        <v>0.003222147832179166</v>
      </c>
      <c r="U72" s="565">
        <f>'Nutrient management'!BI19</f>
        <v>10000</v>
      </c>
      <c r="V72">
        <f>'Nutrient management'!BJ19</f>
        <v>3.222147832179166E-07</v>
      </c>
      <c r="W72" s="61">
        <f t="shared" si="6"/>
        <v>0.3222147832179166</v>
      </c>
      <c r="AB72" s="583">
        <f t="shared" si="7"/>
        <v>0.003222147832179166</v>
      </c>
      <c r="AC72" s="668">
        <f t="shared" si="8"/>
        <v>0.3222147832179166</v>
      </c>
      <c r="AD72" s="46">
        <f t="shared" si="9"/>
        <v>42</v>
      </c>
    </row>
    <row r="73" spans="1:30" ht="12.75">
      <c r="A73" t="s">
        <v>40</v>
      </c>
      <c r="B73" t="s">
        <v>940</v>
      </c>
      <c r="C73" s="553">
        <f>'Nutrient management'!C20</f>
        <v>83</v>
      </c>
      <c r="D73" s="553" t="str">
        <f>'Nutrient management'!D20</f>
        <v>Name removed</v>
      </c>
      <c r="E73" t="str">
        <f>'Nutrient management'!E20</f>
        <v>Cane</v>
      </c>
      <c r="F73" s="554">
        <f>'Nutrient management'!F20</f>
        <v>7000</v>
      </c>
      <c r="G73" s="554">
        <f>'Nutrient management'!G20</f>
        <v>4000</v>
      </c>
      <c r="H73" s="554">
        <f>'Nutrient management'!H20</f>
        <v>3000</v>
      </c>
      <c r="I73" s="552">
        <f>'Nutrient management'!I20</f>
        <v>0.42857142857142855</v>
      </c>
      <c r="J73" t="str">
        <f>'Nutrient management'!J20</f>
        <v>Soy bean planter</v>
      </c>
      <c r="K73" t="str">
        <f>'Nutrient management'!K20</f>
        <v>No lot number supplied</v>
      </c>
      <c r="L73" s="553">
        <f>'Nutrient management'!N20</f>
        <v>0</v>
      </c>
      <c r="M73" s="553">
        <f>'Nutrient management'!O20</f>
        <v>0</v>
      </c>
      <c r="N73" s="563">
        <f>'Nutrient management'!AV20</f>
        <v>296.4561196877321</v>
      </c>
      <c r="O73">
        <f>'Nutrient management'!AW20</f>
        <v>2.5</v>
      </c>
      <c r="P73">
        <f>'Nutrient management'!AX20</f>
        <v>1</v>
      </c>
      <c r="Q73" s="563">
        <f>'Nutrient management'!AY20</f>
        <v>741.1402992193302</v>
      </c>
      <c r="R73" s="564">
        <f>'Nutrient management'!BD20</f>
        <v>0.3279166666666667</v>
      </c>
      <c r="S73" s="564">
        <f>'Nutrient management'!BF20</f>
        <v>0.10249999999999998</v>
      </c>
      <c r="T73" s="564">
        <f>'Nutrient management'!BH20</f>
        <v>0.009787131699904531</v>
      </c>
      <c r="U73" s="565">
        <f>'Nutrient management'!BI20</f>
        <v>3000</v>
      </c>
      <c r="V73">
        <f>'Nutrient management'!BJ20</f>
        <v>3.2623772333015105E-06</v>
      </c>
      <c r="W73" s="61">
        <f t="shared" si="6"/>
        <v>3.2623772333015104</v>
      </c>
      <c r="AB73" s="583">
        <f t="shared" si="7"/>
        <v>0.009787131699904531</v>
      </c>
      <c r="AC73" s="668">
        <f t="shared" si="8"/>
        <v>3.2623772333015104</v>
      </c>
      <c r="AD73" s="46">
        <f t="shared" si="9"/>
        <v>13</v>
      </c>
    </row>
    <row r="74" spans="1:30" ht="12.75">
      <c r="A74" t="s">
        <v>40</v>
      </c>
      <c r="B74" t="s">
        <v>940</v>
      </c>
      <c r="C74" s="553">
        <f>'Nutrient management'!C21</f>
        <v>86</v>
      </c>
      <c r="D74" s="553" t="str">
        <f>'Nutrient management'!D21</f>
        <v>Name removed</v>
      </c>
      <c r="E74" t="str">
        <f>'Nutrient management'!E21</f>
        <v>cane</v>
      </c>
      <c r="F74" s="554">
        <f>'Nutrient management'!F21</f>
        <v>11000</v>
      </c>
      <c r="G74" s="554">
        <f>'Nutrient management'!G21</f>
        <v>3000</v>
      </c>
      <c r="H74" s="554">
        <f>'Nutrient management'!H21</f>
        <v>8000</v>
      </c>
      <c r="I74" s="552">
        <f>'Nutrient management'!I21</f>
        <v>0.7272727272727273</v>
      </c>
      <c r="J74" t="str">
        <f>'Nutrient management'!J21</f>
        <v>natural legume fertiliser trial</v>
      </c>
      <c r="K74" t="str">
        <f>'Nutrient management'!K21</f>
        <v>Lot number removed</v>
      </c>
      <c r="L74" s="553">
        <f>'Nutrient management'!N21</f>
        <v>0</v>
      </c>
      <c r="M74" s="553">
        <f>'Nutrient management'!O21</f>
        <v>0</v>
      </c>
      <c r="N74" s="563">
        <f>'Nutrient management'!AV21</f>
        <v>99.60426623762376</v>
      </c>
      <c r="O74">
        <f>'Nutrient management'!AW21</f>
        <v>2.5</v>
      </c>
      <c r="P74">
        <f>'Nutrient management'!AX21</f>
        <v>1</v>
      </c>
      <c r="Q74" s="563">
        <f>'Nutrient management'!AY21</f>
        <v>249.0106655940594</v>
      </c>
      <c r="R74" s="564">
        <f>'Nutrient management'!BD21</f>
        <v>0.3279166666666667</v>
      </c>
      <c r="S74" s="564">
        <f>'Nutrient management'!BF21</f>
        <v>0.38550000000000006</v>
      </c>
      <c r="T74" s="564">
        <f>'Nutrient management'!BH21</f>
        <v>0.0033346038728107597</v>
      </c>
      <c r="U74" s="565">
        <f>'Nutrient management'!BI21</f>
        <v>8000</v>
      </c>
      <c r="V74">
        <f>'Nutrient management'!BJ21</f>
        <v>4.1682548410134494E-07</v>
      </c>
      <c r="W74" s="61">
        <f t="shared" si="6"/>
        <v>0.41682548410134496</v>
      </c>
      <c r="AB74" s="583">
        <f>(T74+AA74)</f>
        <v>0.0033346038728107597</v>
      </c>
      <c r="AC74" s="668">
        <f>AB74/U74*1000000</f>
        <v>0.41682548410134496</v>
      </c>
      <c r="AD74" s="46">
        <f t="shared" si="9"/>
        <v>36</v>
      </c>
    </row>
    <row r="75" spans="1:30" ht="12.75">
      <c r="A75" t="s">
        <v>41</v>
      </c>
      <c r="B75" t="s">
        <v>941</v>
      </c>
      <c r="C75" s="553">
        <f>'Pesticide management'!C12</f>
        <v>25</v>
      </c>
      <c r="D75" s="553" t="str">
        <f>'Pesticide management'!D12</f>
        <v>Name removed</v>
      </c>
      <c r="E75" t="str">
        <f>'Pesticide management'!E12</f>
        <v>Cane</v>
      </c>
      <c r="F75" s="554">
        <f>'Pesticide management'!F12</f>
        <v>22727</v>
      </c>
      <c r="G75" s="554">
        <f>'Pesticide management'!G12</f>
        <v>11364</v>
      </c>
      <c r="H75" s="554">
        <f>'Pesticide management'!H12</f>
        <v>11363</v>
      </c>
      <c r="I75" s="552">
        <f>'Pesticide management'!I12</f>
        <v>0.4999779997359968</v>
      </c>
      <c r="J75" t="str">
        <f>'Pesticide management'!J12</f>
        <v>Hooded Sprayers</v>
      </c>
      <c r="K75" t="str">
        <f>'Pesticide management'!K12</f>
        <v>Lot number removed</v>
      </c>
      <c r="L75" s="553">
        <f>'Pesticide management'!N12</f>
        <v>0</v>
      </c>
      <c r="M75" s="553">
        <f>'Pesticide management'!O12</f>
        <v>0</v>
      </c>
      <c r="N75" s="563">
        <f>SUM('Pesticide management'!AC12:'Pesticide management'!AE12)</f>
        <v>7.075439588297614</v>
      </c>
      <c r="O75">
        <f>'Pesticide management'!AF12</f>
        <v>2.5</v>
      </c>
      <c r="P75">
        <f>'Pesticide management'!AG12</f>
        <v>1</v>
      </c>
      <c r="Q75" s="563">
        <f>'Pesticide management'!AH12</f>
        <v>17.688598970744035</v>
      </c>
      <c r="R75" s="564">
        <f>'Pesticide management'!AP12</f>
        <v>0.4041666666666667</v>
      </c>
      <c r="S75" s="564">
        <f>'Pesticide management'!AR12</f>
        <v>0.012125000000000004</v>
      </c>
      <c r="T75" s="564">
        <f>'Pesticide management'!AT12</f>
        <v>0.36917714989714784</v>
      </c>
      <c r="U75" s="565">
        <f>'Pesticide management'!AU12</f>
        <v>11363</v>
      </c>
      <c r="V75">
        <f>'Pesticide management'!AV12</f>
        <v>3.248940859783049E-05</v>
      </c>
      <c r="W75" s="61">
        <f t="shared" si="6"/>
        <v>32.48940859783049</v>
      </c>
      <c r="AB75" s="583">
        <f t="shared" si="7"/>
        <v>0.36917714989714784</v>
      </c>
      <c r="AC75" s="668">
        <f t="shared" si="8"/>
        <v>32.48940859783049</v>
      </c>
      <c r="AD75" s="46">
        <f t="shared" si="9"/>
        <v>2</v>
      </c>
    </row>
    <row r="76" spans="1:30" ht="12.75">
      <c r="A76" t="s">
        <v>41</v>
      </c>
      <c r="B76" t="s">
        <v>941</v>
      </c>
      <c r="C76" s="553">
        <f>'Pesticide management'!C13</f>
        <v>60</v>
      </c>
      <c r="D76" s="553" t="str">
        <f>'Pesticide management'!D13</f>
        <v>Name removed</v>
      </c>
      <c r="E76" t="str">
        <f>'Pesticide management'!E13</f>
        <v>Cane</v>
      </c>
      <c r="F76" s="554">
        <f>'Pesticide management'!F13</f>
        <v>55000</v>
      </c>
      <c r="G76" s="554">
        <f>'Pesticide management'!G13</f>
        <v>35000</v>
      </c>
      <c r="H76" s="554">
        <f>'Pesticide management'!H13</f>
        <v>20000</v>
      </c>
      <c r="I76" s="552">
        <f>'Pesticide management'!I13</f>
        <v>0.36363636363636365</v>
      </c>
      <c r="J76" t="str">
        <f>'Pesticide management'!J13</f>
        <v>Shielded Sprayer</v>
      </c>
      <c r="K76" t="str">
        <f>'Pesticide management'!K13</f>
        <v>Lot number removed</v>
      </c>
      <c r="L76" s="553">
        <f>'Pesticide management'!N13</f>
        <v>0</v>
      </c>
      <c r="M76" s="553">
        <f>'Pesticide management'!O13</f>
        <v>0</v>
      </c>
      <c r="N76" s="563">
        <f>'Pesticide management'!AC13+'Pesticide management'!AD13+'Pesticide management'!AE13</f>
        <v>4.243912162415844</v>
      </c>
      <c r="O76">
        <f>'Pesticide management'!AF13</f>
        <v>2.5</v>
      </c>
      <c r="P76">
        <f>'Pesticide management'!AG13</f>
        <v>1</v>
      </c>
      <c r="Q76" s="563">
        <f>'Pesticide management'!AH13</f>
        <v>10.609780406039611</v>
      </c>
      <c r="R76" s="564">
        <f>'Pesticide management'!AP13</f>
        <v>0.5028333333333334</v>
      </c>
      <c r="S76" s="564">
        <f>'Pesticide management'!AR13</f>
        <v>0.010499999999999999</v>
      </c>
      <c r="T76" s="564">
        <f>'Pesticide management'!AT13</f>
        <v>0.18136109500119363</v>
      </c>
      <c r="U76" s="565">
        <f>'Pesticide management'!AU13</f>
        <v>20000</v>
      </c>
      <c r="V76">
        <f>'Pesticide management'!AV13</f>
        <v>9.068054750059682E-06</v>
      </c>
      <c r="W76" s="61">
        <f t="shared" si="6"/>
        <v>9.068054750059682</v>
      </c>
      <c r="AB76" s="583">
        <f t="shared" si="7"/>
        <v>0.18136109500119363</v>
      </c>
      <c r="AC76" s="668">
        <f t="shared" si="8"/>
        <v>9.068054750059682</v>
      </c>
      <c r="AD76" s="46">
        <f t="shared" si="9"/>
        <v>6</v>
      </c>
    </row>
    <row r="77" spans="1:30" ht="12.75">
      <c r="A77" t="s">
        <v>41</v>
      </c>
      <c r="B77" t="s">
        <v>941</v>
      </c>
      <c r="C77" s="553">
        <f>'Pesticide management'!C14</f>
        <v>63</v>
      </c>
      <c r="D77" s="553" t="str">
        <f>'Pesticide management'!D14</f>
        <v>Name removed</v>
      </c>
      <c r="E77" t="str">
        <f>'Pesticide management'!E14</f>
        <v>Cane</v>
      </c>
      <c r="F77" s="554">
        <f>'Pesticide management'!F14</f>
        <v>6000</v>
      </c>
      <c r="G77" s="554">
        <f>'Pesticide management'!G14</f>
        <v>2500</v>
      </c>
      <c r="H77" s="554">
        <f>'Pesticide management'!H14</f>
        <v>3500</v>
      </c>
      <c r="I77" s="552">
        <f>'Pesticide management'!I14</f>
        <v>0.5833333333333334</v>
      </c>
      <c r="J77" t="str">
        <f>'Pesticide management'!J14</f>
        <v>Shielded Sprayer</v>
      </c>
      <c r="K77" t="str">
        <f>'Pesticide management'!K14</f>
        <v>Lot number removed</v>
      </c>
      <c r="L77" s="553">
        <f>'Pesticide management'!N14</f>
        <v>0</v>
      </c>
      <c r="M77" s="553">
        <f>'Pesticide management'!O14</f>
        <v>0</v>
      </c>
      <c r="N77" s="563">
        <f>'Pesticide management'!AC14+'Pesticide management'!AD14+'Pesticide management'!AE14</f>
        <v>0.8513599696237948</v>
      </c>
      <c r="O77">
        <f>'Pesticide management'!AF14</f>
        <v>2.5</v>
      </c>
      <c r="P77">
        <f>'Pesticide management'!AG14</f>
        <v>1</v>
      </c>
      <c r="Q77" s="563">
        <f>'Pesticide management'!AH14</f>
        <v>2.128399924059487</v>
      </c>
      <c r="R77" s="564">
        <f>'Pesticide management'!AP14</f>
        <v>0.3741666666666667</v>
      </c>
      <c r="S77" s="564">
        <f>'Pesticide management'!AR14</f>
        <v>0.42375</v>
      </c>
      <c r="T77" s="564">
        <f>'Pesticide management'!AT14</f>
        <v>0.042049923714143636</v>
      </c>
      <c r="U77" s="565">
        <f>'Pesticide management'!AU14</f>
        <v>3500</v>
      </c>
      <c r="V77">
        <f>'Pesticide management'!AV14</f>
        <v>1.2014263918326753E-05</v>
      </c>
      <c r="W77" s="61">
        <f t="shared" si="6"/>
        <v>12.014263918326753</v>
      </c>
      <c r="AB77" s="583">
        <f t="shared" si="7"/>
        <v>0.042049923714143636</v>
      </c>
      <c r="AC77" s="668">
        <f t="shared" si="8"/>
        <v>12.014263918326753</v>
      </c>
      <c r="AD77" s="46">
        <f t="shared" si="9"/>
        <v>5</v>
      </c>
    </row>
    <row r="78" spans="1:30" ht="12.75">
      <c r="A78" t="s">
        <v>41</v>
      </c>
      <c r="B78" t="s">
        <v>941</v>
      </c>
      <c r="C78" s="553">
        <f>'Pesticide management'!C15</f>
        <v>81</v>
      </c>
      <c r="D78" s="553" t="str">
        <f>'Pesticide management'!D15</f>
        <v>Name removed</v>
      </c>
      <c r="E78" t="str">
        <f>'Pesticide management'!E15</f>
        <v>Cane</v>
      </c>
      <c r="F78" s="554">
        <f>'Pesticide management'!F15</f>
        <v>16000</v>
      </c>
      <c r="G78" s="554">
        <f>'Pesticide management'!G15</f>
        <v>5000</v>
      </c>
      <c r="H78" s="554">
        <f>'Pesticide management'!H15</f>
        <v>11000</v>
      </c>
      <c r="I78" s="552">
        <f>'Pesticide management'!I15</f>
        <v>0.6875</v>
      </c>
      <c r="J78" t="str">
        <f>'Pesticide management'!J15</f>
        <v>Shielded Sprayer</v>
      </c>
      <c r="K78" t="str">
        <f>'Pesticide management'!K15</f>
        <v>No lot number supplied</v>
      </c>
      <c r="L78" s="553">
        <f>'Pesticide management'!N15</f>
        <v>0</v>
      </c>
      <c r="M78" s="553">
        <f>'Pesticide management'!O15</f>
        <v>0</v>
      </c>
      <c r="N78" s="563">
        <f>'Pesticide management'!AC15+'Pesticide management'!AD15+'Pesticide management'!AE15</f>
        <v>5.988211765231373</v>
      </c>
      <c r="O78">
        <f>'Pesticide management'!AF15</f>
        <v>2.5</v>
      </c>
      <c r="P78">
        <f>'Pesticide management'!AG15</f>
        <v>1</v>
      </c>
      <c r="Q78" s="563">
        <f>'Pesticide management'!AH15</f>
        <v>14.970529413078433</v>
      </c>
      <c r="R78" s="564">
        <f>'Pesticide management'!AP15</f>
        <v>0.61125</v>
      </c>
      <c r="S78" s="564">
        <f>'Pesticide management'!AR15</f>
        <v>0.07500000000000001</v>
      </c>
      <c r="T78" s="564">
        <f>'Pesticide management'!AT15</f>
        <v>0.42129811867682027</v>
      </c>
      <c r="U78" s="565">
        <f>'Pesticide management'!AU15</f>
        <v>11000</v>
      </c>
      <c r="V78">
        <f>'Pesticide management'!AV15</f>
        <v>3.829982897062003E-05</v>
      </c>
      <c r="W78" s="61">
        <f t="shared" si="6"/>
        <v>38.29982897062003</v>
      </c>
      <c r="AB78" s="583">
        <f t="shared" si="7"/>
        <v>0.42129811867682027</v>
      </c>
      <c r="AC78" s="668">
        <f t="shared" si="8"/>
        <v>38.29982897062003</v>
      </c>
      <c r="AD78" s="46">
        <f t="shared" si="9"/>
        <v>1</v>
      </c>
    </row>
    <row r="79" spans="1:30" ht="12.75">
      <c r="A79" t="s">
        <v>41</v>
      </c>
      <c r="B79" t="s">
        <v>941</v>
      </c>
      <c r="C79" s="553">
        <f>'Pesticide management'!C16</f>
        <v>84</v>
      </c>
      <c r="D79" s="553" t="str">
        <f>'Pesticide management'!D16</f>
        <v>Name removed</v>
      </c>
      <c r="E79" t="str">
        <f>'Pesticide management'!E16</f>
        <v>Cane</v>
      </c>
      <c r="F79" s="554">
        <f>'Pesticide management'!F16</f>
        <v>16000</v>
      </c>
      <c r="G79" s="554">
        <f>'Pesticide management'!G16</f>
        <v>5000</v>
      </c>
      <c r="H79" s="554">
        <f>'Pesticide management'!H16</f>
        <v>11000</v>
      </c>
      <c r="I79" s="552">
        <f>'Pesticide management'!I16</f>
        <v>0.6875</v>
      </c>
      <c r="J79" t="str">
        <f>'Pesticide management'!J16</f>
        <v>shielded sprayer</v>
      </c>
      <c r="K79" t="str">
        <f>'Pesticide management'!K16</f>
        <v>No lot number supplied</v>
      </c>
      <c r="L79" s="553">
        <f>'Pesticide management'!N16</f>
        <v>0</v>
      </c>
      <c r="M79" s="553">
        <f>'Pesticide management'!O16</f>
        <v>0</v>
      </c>
      <c r="N79" s="563">
        <f>'Pesticide management'!AC16+'Pesticide management'!AD16+'Pesticide management'!AE16</f>
        <v>0.2656452396373057</v>
      </c>
      <c r="O79">
        <f>'Pesticide management'!AF16</f>
        <v>2.5</v>
      </c>
      <c r="P79">
        <f>'Pesticide management'!AG16</f>
        <v>1</v>
      </c>
      <c r="Q79" s="563">
        <f>'Pesticide management'!AH16</f>
        <v>0.6641130990932642</v>
      </c>
      <c r="R79" s="564">
        <f>'Pesticide management'!AP16</f>
        <v>0.3279166666666667</v>
      </c>
      <c r="S79" s="564">
        <f>'Pesticide management'!AR16</f>
        <v>0.38550000000000006</v>
      </c>
      <c r="T79" s="564">
        <f>'Pesticide management'!AT16</f>
        <v>0.011319802677510727</v>
      </c>
      <c r="U79" s="565">
        <f>'Pesticide management'!AU16</f>
        <v>11000</v>
      </c>
      <c r="V79">
        <f>'Pesticide management'!AV16</f>
        <v>1.0290729706827933E-06</v>
      </c>
      <c r="W79" s="61">
        <f t="shared" si="6"/>
        <v>1.0290729706827932</v>
      </c>
      <c r="AB79" s="583">
        <f t="shared" si="7"/>
        <v>0.011319802677510727</v>
      </c>
      <c r="AC79" s="668">
        <f t="shared" si="8"/>
        <v>1.0290729706827932</v>
      </c>
      <c r="AD79" s="46">
        <f t="shared" si="9"/>
        <v>21</v>
      </c>
    </row>
    <row r="80" spans="1:30" ht="12.75">
      <c r="A80" t="s">
        <v>321</v>
      </c>
      <c r="B80" t="s">
        <v>322</v>
      </c>
      <c r="C80">
        <f>'Grazing metric'!B11</f>
        <v>46</v>
      </c>
      <c r="D80" t="str">
        <f>'Grazing metric'!C11</f>
        <v>Name removed</v>
      </c>
      <c r="E80" t="s">
        <v>323</v>
      </c>
      <c r="F80">
        <f>'Grazing metric'!E11</f>
        <v>98000</v>
      </c>
      <c r="G80">
        <f>'Grazing metric'!F11</f>
        <v>15000</v>
      </c>
      <c r="H80">
        <f>'Grazing metric'!G11</f>
        <v>83000</v>
      </c>
      <c r="I80" s="552">
        <f>'Grazing metric'!H11</f>
        <v>0.15306122448979592</v>
      </c>
      <c r="J80" t="str">
        <f>'Grazing metric'!Y11</f>
        <v>changing irrigation system - minimal WQ impact -min runoff</v>
      </c>
      <c r="K80" t="s">
        <v>684</v>
      </c>
      <c r="N80" s="563">
        <f>'Grazing metric'!AF11/'Grazing metric'!AD11</f>
        <v>0.5901460878884037</v>
      </c>
      <c r="O80" s="563">
        <f>'Grazing metric'!AD11</f>
        <v>1</v>
      </c>
      <c r="P80">
        <v>1</v>
      </c>
      <c r="Q80" s="563">
        <f>'Grazing metric'!AF11</f>
        <v>0.5901460878884037</v>
      </c>
      <c r="R80">
        <f>'Grazing metric'!AK11</f>
        <v>0.25</v>
      </c>
      <c r="S80">
        <v>0</v>
      </c>
      <c r="T80" s="564">
        <f>'Grazing metric'!AM11</f>
        <v>0.0002617616406241838</v>
      </c>
      <c r="U80" s="565">
        <f>'Grazing metric'!AN11</f>
        <v>83000</v>
      </c>
      <c r="V80">
        <f>'Grazing metric'!AO11</f>
        <v>3.1537547063154674E-09</v>
      </c>
      <c r="W80" s="61">
        <f t="shared" si="6"/>
        <v>0.0031537547063154674</v>
      </c>
      <c r="AB80" s="583">
        <f aca="true" t="shared" si="10" ref="AB80:AB87">(T80+AA80)</f>
        <v>0.0002617616406241838</v>
      </c>
      <c r="AC80" s="668">
        <f aca="true" t="shared" si="11" ref="AC80:AC87">AB80/U80*1000000</f>
        <v>0.0031537547063154674</v>
      </c>
      <c r="AD80" s="46">
        <f t="shared" si="9"/>
        <v>86</v>
      </c>
    </row>
    <row r="81" spans="1:30" ht="12.75">
      <c r="A81" t="s">
        <v>321</v>
      </c>
      <c r="B81" t="s">
        <v>322</v>
      </c>
      <c r="C81">
        <f>'Grazing metric'!B12</f>
        <v>49</v>
      </c>
      <c r="D81" t="str">
        <f>'Grazing metric'!C12</f>
        <v>Name removed</v>
      </c>
      <c r="E81" t="s">
        <v>323</v>
      </c>
      <c r="F81">
        <f>'Grazing metric'!E12</f>
        <v>45815.05</v>
      </c>
      <c r="G81">
        <f>'Grazing metric'!F12</f>
        <v>30474.4</v>
      </c>
      <c r="H81">
        <f>'Grazing metric'!G12</f>
        <v>15340.650000000001</v>
      </c>
      <c r="I81" s="552">
        <f>'Grazing metric'!H12</f>
        <v>0.6651613389050105</v>
      </c>
      <c r="J81" t="str">
        <f>'Grazing metric'!Y12</f>
        <v>not riparian project area 4 paddocks = 2024ha . Farm size = 7689. Two projects one soil cover increase and second extend size of 2. sediment traps .- 1=5000L to 15000L + catchment =162ha; 2=from 30000L to 60,000L + catchment area 247ha</v>
      </c>
      <c r="N81" s="563">
        <f>'Grazing metric'!AF12/'Grazing metric'!AD12</f>
        <v>7.778418328907657</v>
      </c>
      <c r="O81" s="563">
        <f>'Grazing metric'!AD12</f>
        <v>5</v>
      </c>
      <c r="P81">
        <v>1</v>
      </c>
      <c r="Q81" s="563">
        <f>'Grazing metric'!AF12</f>
        <v>38.89209164453828</v>
      </c>
      <c r="R81">
        <f>'Grazing metric'!AK12</f>
        <v>0.25</v>
      </c>
      <c r="S81">
        <v>0</v>
      </c>
      <c r="T81" s="564">
        <f>'Grazing metric'!AM12</f>
        <v>0.01725074168094048</v>
      </c>
      <c r="U81" s="565">
        <f>'Grazing metric'!AN12</f>
        <v>15340.650000000001</v>
      </c>
      <c r="V81">
        <f>'Grazing metric'!AO12</f>
        <v>1.124511782808452E-06</v>
      </c>
      <c r="W81" s="61">
        <f t="shared" si="6"/>
        <v>1.124511782808452</v>
      </c>
      <c r="AB81" s="583">
        <f t="shared" si="10"/>
        <v>0.01725074168094048</v>
      </c>
      <c r="AC81" s="668">
        <f t="shared" si="11"/>
        <v>1.124511782808452</v>
      </c>
      <c r="AD81" s="46">
        <f t="shared" si="9"/>
        <v>19</v>
      </c>
    </row>
    <row r="82" spans="1:30" ht="12.75">
      <c r="A82" t="s">
        <v>321</v>
      </c>
      <c r="B82" t="s">
        <v>322</v>
      </c>
      <c r="C82" t="str">
        <f>'Grazing metric'!B13</f>
        <v>52b</v>
      </c>
      <c r="D82" t="str">
        <f>'Grazing metric'!C13</f>
        <v>Name removed</v>
      </c>
      <c r="E82" t="s">
        <v>323</v>
      </c>
      <c r="F82">
        <f>'Grazing metric'!E13</f>
        <v>4000</v>
      </c>
      <c r="G82">
        <f>'Grazing metric'!F13</f>
        <v>500</v>
      </c>
      <c r="H82">
        <f>'Grazing metric'!G13</f>
        <v>3500</v>
      </c>
      <c r="I82" s="552">
        <f>'Grazing metric'!H13</f>
        <v>0.125</v>
      </c>
      <c r="J82" t="str">
        <f>'Grazing metric'!Y13</f>
        <v>wetland  but not riparian increase rotational grazing - no further info at this stage </v>
      </c>
      <c r="N82" s="563">
        <f>'Grazing metric'!AF13/'Grazing metric'!AD13</f>
        <v>117.41467451396778</v>
      </c>
      <c r="O82" s="563">
        <f>'Grazing metric'!AD13</f>
        <v>1</v>
      </c>
      <c r="P82">
        <v>1</v>
      </c>
      <c r="Q82" s="563">
        <f>'Grazing metric'!AF13</f>
        <v>117.41467451396778</v>
      </c>
      <c r="R82">
        <f>'Grazing metric'!AK13</f>
        <v>0.5108333333333334</v>
      </c>
      <c r="S82">
        <v>0</v>
      </c>
      <c r="T82" s="564">
        <f>'Grazing metric'!AM13</f>
        <v>0.05340502642733056</v>
      </c>
      <c r="U82" s="565">
        <f>'Grazing metric'!AN13</f>
        <v>3500</v>
      </c>
      <c r="V82">
        <f>'Grazing metric'!AO13</f>
        <v>1.5258578979237304E-05</v>
      </c>
      <c r="W82" s="61">
        <f t="shared" si="6"/>
        <v>15.258578979237305</v>
      </c>
      <c r="AB82" s="583">
        <f t="shared" si="10"/>
        <v>0.05340502642733056</v>
      </c>
      <c r="AC82" s="668">
        <f t="shared" si="11"/>
        <v>15.258578979237305</v>
      </c>
      <c r="AD82" s="46">
        <f t="shared" si="9"/>
        <v>3</v>
      </c>
    </row>
    <row r="83" spans="1:30" ht="12.75">
      <c r="A83" t="s">
        <v>321</v>
      </c>
      <c r="B83" t="s">
        <v>322</v>
      </c>
      <c r="C83">
        <f>'Grazing metric'!B14</f>
        <v>78</v>
      </c>
      <c r="D83" t="str">
        <f>'Grazing metric'!C14</f>
        <v>Name removed</v>
      </c>
      <c r="E83" t="s">
        <v>323</v>
      </c>
      <c r="F83">
        <f>'Grazing metric'!E14</f>
        <v>85454</v>
      </c>
      <c r="G83">
        <f>'Grazing metric'!F14</f>
        <v>55454</v>
      </c>
      <c r="H83">
        <f>'Grazing metric'!G14</f>
        <v>30000</v>
      </c>
      <c r="I83" s="552">
        <f>'Grazing metric'!H14</f>
        <v>0.6489339293655065</v>
      </c>
      <c r="J83" t="str">
        <f>'Grazing metric'!Y14</f>
        <v>small area little improvement in 1 yr</v>
      </c>
      <c r="N83" s="563">
        <f>'Grazing metric'!AF14/'Grazing metric'!AD14</f>
        <v>2.5860632024489587</v>
      </c>
      <c r="O83" s="563">
        <f>'Grazing metric'!AD14</f>
        <v>1</v>
      </c>
      <c r="P83">
        <v>1</v>
      </c>
      <c r="Q83" s="563">
        <f>'Grazing metric'!AF14</f>
        <v>2.5860632024489587</v>
      </c>
      <c r="R83">
        <f>'Grazing metric'!AK14</f>
        <v>0.6057692307692308</v>
      </c>
      <c r="S83">
        <v>0</v>
      </c>
      <c r="T83" s="564">
        <f>'Grazing metric'!AM14</f>
        <v>0.0011868720808245216</v>
      </c>
      <c r="U83" s="565">
        <f>'Grazing metric'!AN14</f>
        <v>30000</v>
      </c>
      <c r="V83">
        <f>'Grazing metric'!AO14</f>
        <v>3.956240269415072E-08</v>
      </c>
      <c r="W83" s="61">
        <f t="shared" si="6"/>
        <v>0.03956240269415072</v>
      </c>
      <c r="AB83" s="583">
        <f t="shared" si="10"/>
        <v>0.0011868720808245216</v>
      </c>
      <c r="AC83" s="668">
        <f t="shared" si="11"/>
        <v>0.03956240269415072</v>
      </c>
      <c r="AD83" s="46">
        <f t="shared" si="9"/>
        <v>74</v>
      </c>
    </row>
    <row r="84" spans="1:30" ht="12.75">
      <c r="A84" t="s">
        <v>321</v>
      </c>
      <c r="B84" t="s">
        <v>322</v>
      </c>
      <c r="C84">
        <f>'Grazing metric'!B15</f>
        <v>90</v>
      </c>
      <c r="D84" t="str">
        <f>'Grazing metric'!C15</f>
        <v>Name removed</v>
      </c>
      <c r="E84" t="s">
        <v>323</v>
      </c>
      <c r="F84">
        <f>'Grazing metric'!E15</f>
        <v>27722</v>
      </c>
      <c r="G84">
        <f>'Grazing metric'!F15</f>
        <v>17488</v>
      </c>
      <c r="H84">
        <f>'Grazing metric'!G15</f>
        <v>10234</v>
      </c>
      <c r="I84" s="552">
        <f>'Grazing metric'!H15</f>
        <v>0.6308347161099488</v>
      </c>
      <c r="J84" t="str">
        <f>'Grazing metric'!Y15</f>
        <v>two diff slopes ( 3000ha three slopes - first not counted) - not riparian - future intention to remove woody weeds</v>
      </c>
      <c r="N84" s="563">
        <f>'Grazing metric'!AF15/'Grazing metric'!AD15</f>
        <v>95.82259932371909</v>
      </c>
      <c r="O84" s="563">
        <f>'Grazing metric'!AD15</f>
        <v>1</v>
      </c>
      <c r="P84">
        <v>1</v>
      </c>
      <c r="Q84" s="563">
        <f>'Grazing metric'!AF15</f>
        <v>95.82259932371909</v>
      </c>
      <c r="R84">
        <f>'Grazing metric'!AK15</f>
        <v>0.4807692307692308</v>
      </c>
      <c r="S84">
        <v>0</v>
      </c>
      <c r="T84" s="564">
        <f>'Grazing metric'!AM15</f>
        <v>0.04345939861024214</v>
      </c>
      <c r="U84" s="565">
        <f>'Grazing metric'!AN15</f>
        <v>10234</v>
      </c>
      <c r="V84">
        <f>'Grazing metric'!AO15</f>
        <v>4.24657012021127E-06</v>
      </c>
      <c r="W84" s="61">
        <f t="shared" si="6"/>
        <v>4.24657012021127</v>
      </c>
      <c r="AB84" s="583">
        <f t="shared" si="10"/>
        <v>0.04345939861024214</v>
      </c>
      <c r="AC84" s="668">
        <f t="shared" si="11"/>
        <v>4.24657012021127</v>
      </c>
      <c r="AD84" s="46">
        <f t="shared" si="9"/>
        <v>12</v>
      </c>
    </row>
    <row r="85" spans="1:30" ht="12.75">
      <c r="A85" t="s">
        <v>321</v>
      </c>
      <c r="B85" t="s">
        <v>322</v>
      </c>
      <c r="C85">
        <f>'Grazing metric'!B16</f>
        <v>91</v>
      </c>
      <c r="D85" t="str">
        <f>'Grazing metric'!C16</f>
        <v>Name removed</v>
      </c>
      <c r="E85" t="s">
        <v>323</v>
      </c>
      <c r="F85">
        <f>'Grazing metric'!E16</f>
        <v>30000</v>
      </c>
      <c r="G85">
        <f>'Grazing metric'!F16</f>
        <v>15200</v>
      </c>
      <c r="H85">
        <f>'Grazing metric'!G16</f>
        <v>14800</v>
      </c>
      <c r="I85" s="552">
        <f>'Grazing metric'!H16</f>
        <v>0.5066666666666667</v>
      </c>
      <c r="J85" t="str">
        <f>'Grazing metric'!Y16</f>
        <v>cutlabar 50ha plus additional seeding for 200ha</v>
      </c>
      <c r="N85" s="563">
        <f>'Grazing metric'!AF16/'Grazing metric'!AD16</f>
        <v>41.0395687102324</v>
      </c>
      <c r="O85" s="563">
        <f>'Grazing metric'!AD16</f>
        <v>5</v>
      </c>
      <c r="P85">
        <v>1</v>
      </c>
      <c r="Q85" s="563">
        <f>'Grazing metric'!AF16</f>
        <v>205.197843551162</v>
      </c>
      <c r="R85">
        <f>'Grazing metric'!AK16</f>
        <v>0.2692307692307692</v>
      </c>
      <c r="S85">
        <v>0</v>
      </c>
      <c r="T85" s="564">
        <f>'Grazing metric'!AM16</f>
        <v>0.09118708062622871</v>
      </c>
      <c r="U85" s="565">
        <f>'Grazing metric'!AN16</f>
        <v>14800</v>
      </c>
      <c r="V85">
        <f>'Grazing metric'!AO16</f>
        <v>6.16128923150194E-06</v>
      </c>
      <c r="W85" s="61">
        <f t="shared" si="6"/>
        <v>6.16128923150194</v>
      </c>
      <c r="AB85" s="583">
        <f t="shared" si="10"/>
        <v>0.09118708062622871</v>
      </c>
      <c r="AC85" s="668">
        <f t="shared" si="11"/>
        <v>6.16128923150194</v>
      </c>
      <c r="AD85" s="46">
        <f t="shared" si="9"/>
        <v>9</v>
      </c>
    </row>
    <row r="86" spans="1:30" ht="12.75">
      <c r="A86" t="s">
        <v>321</v>
      </c>
      <c r="B86" t="s">
        <v>322</v>
      </c>
      <c r="C86">
        <f>'Grazing metric'!B17</f>
        <v>92</v>
      </c>
      <c r="D86" t="str">
        <f>'Grazing metric'!C17</f>
        <v>Name removed</v>
      </c>
      <c r="E86" t="s">
        <v>323</v>
      </c>
      <c r="F86">
        <f>'Grazing metric'!E17</f>
        <v>70000</v>
      </c>
      <c r="G86">
        <f>'Grazing metric'!F17</f>
        <v>20000</v>
      </c>
      <c r="H86">
        <f>'Grazing metric'!G17</f>
        <v>50000</v>
      </c>
      <c r="I86" s="552">
        <f>'Grazing metric'!H17</f>
        <v>0.2857142857142857</v>
      </c>
      <c r="J86" t="str">
        <f>'Grazing metric'!Y17</f>
        <v>small area - little improvement in 1 yr</v>
      </c>
      <c r="N86" s="563">
        <f>'Grazing metric'!AF17/'Grazing metric'!AD17</f>
        <v>0.7017879191567661</v>
      </c>
      <c r="O86" s="563">
        <f>'Grazing metric'!AD17</f>
        <v>1</v>
      </c>
      <c r="P86">
        <v>1</v>
      </c>
      <c r="Q86" s="563">
        <f>'Grazing metric'!AF17</f>
        <v>0.7017879191567661</v>
      </c>
      <c r="R86">
        <f>'Grazing metric'!AK17</f>
        <v>0.11538461538461539</v>
      </c>
      <c r="S86">
        <v>0</v>
      </c>
      <c r="T86" s="564">
        <f>'Grazing metric'!AM17</f>
        <v>0.0003071927023774983</v>
      </c>
      <c r="U86" s="565">
        <f>'Grazing metric'!AN17</f>
        <v>50000</v>
      </c>
      <c r="V86">
        <f>'Grazing metric'!AO17</f>
        <v>6.143854047549966E-09</v>
      </c>
      <c r="W86" s="61">
        <f t="shared" si="6"/>
        <v>0.006143854047549966</v>
      </c>
      <c r="AB86" s="583">
        <f t="shared" si="10"/>
        <v>0.0003071927023774983</v>
      </c>
      <c r="AC86" s="668">
        <f t="shared" si="11"/>
        <v>0.006143854047549966</v>
      </c>
      <c r="AD86" s="46">
        <f t="shared" si="9"/>
        <v>82</v>
      </c>
    </row>
    <row r="87" spans="1:30" ht="12.75">
      <c r="A87" t="s">
        <v>321</v>
      </c>
      <c r="B87" t="s">
        <v>322</v>
      </c>
      <c r="C87">
        <f>'Grazing metric'!B18</f>
        <v>93</v>
      </c>
      <c r="D87" t="str">
        <f>'Grazing metric'!C18</f>
        <v>Name removed</v>
      </c>
      <c r="E87" t="s">
        <v>323</v>
      </c>
      <c r="F87">
        <f>'Grazing metric'!E18</f>
        <v>78917.45</v>
      </c>
      <c r="G87">
        <f>'Grazing metric'!F18</f>
        <v>0</v>
      </c>
      <c r="H87">
        <f>'Grazing metric'!G18</f>
        <v>78917.45</v>
      </c>
      <c r="I87" s="552">
        <f>'Grazing metric'!H18</f>
        <v>0</v>
      </c>
      <c r="J87" t="str">
        <f>'Grazing metric'!Y18</f>
        <v>next door to 92 - need info on current and expected ground cover and area/ length of buffer strip</v>
      </c>
      <c r="N87" s="563">
        <f>'Grazing metric'!AF18/'Grazing metric'!AD18</f>
        <v>14.067138406519074</v>
      </c>
      <c r="O87" s="563">
        <f>'Grazing metric'!AD18</f>
        <v>1</v>
      </c>
      <c r="P87">
        <v>1</v>
      </c>
      <c r="Q87" s="563">
        <f>'Grazing metric'!AF18</f>
        <v>14.067138406519074</v>
      </c>
      <c r="R87">
        <f>'Grazing metric'!AK18</f>
        <v>0.4903846153846154</v>
      </c>
      <c r="S87">
        <v>0</v>
      </c>
      <c r="T87" s="564">
        <f>'Grazing metric'!AM18</f>
        <v>0.006385865658200934</v>
      </c>
      <c r="U87" s="565">
        <f>'Grazing metric'!AN18</f>
        <v>78917.45</v>
      </c>
      <c r="V87">
        <f>'Grazing metric'!AO18</f>
        <v>8.091829700783457E-08</v>
      </c>
      <c r="W87" s="61">
        <f t="shared" si="6"/>
        <v>0.08091829700783457</v>
      </c>
      <c r="AB87" s="583">
        <f t="shared" si="10"/>
        <v>0.006385865658200934</v>
      </c>
      <c r="AC87" s="668">
        <f t="shared" si="11"/>
        <v>0.08091829700783457</v>
      </c>
      <c r="AD87" s="46">
        <f t="shared" si="9"/>
        <v>67</v>
      </c>
    </row>
    <row r="88" spans="1:30" ht="12.75">
      <c r="A88" t="s">
        <v>321</v>
      </c>
      <c r="B88" t="s">
        <v>322</v>
      </c>
      <c r="C88">
        <v>60</v>
      </c>
      <c r="D88" t="str">
        <f>'Grazing metric'!C19</f>
        <v>Name removed</v>
      </c>
      <c r="E88" t="s">
        <v>323</v>
      </c>
      <c r="F88">
        <f>'Grazing metric'!E19</f>
        <v>100000</v>
      </c>
      <c r="G88">
        <f>'Grazing metric'!F19</f>
        <v>50000</v>
      </c>
      <c r="H88">
        <f>'Grazing metric'!G19</f>
        <v>50000</v>
      </c>
      <c r="I88" s="552">
        <f>'Grazing metric'!H19</f>
        <v>0.5</v>
      </c>
      <c r="J88">
        <f>'Grazing metric'!Y19</f>
        <v>0</v>
      </c>
      <c r="N88" s="563">
        <f>'Grazing metric'!AF19/'Grazing metric'!AD19</f>
        <v>10.729928125040788</v>
      </c>
      <c r="O88" s="563">
        <f>'Grazing metric'!AD19</f>
        <v>1</v>
      </c>
      <c r="P88">
        <v>2</v>
      </c>
      <c r="Q88" s="563">
        <f>'Grazing metric'!AF19</f>
        <v>10.729928125040788</v>
      </c>
      <c r="R88">
        <f>'Grazing metric'!AK19</f>
        <v>0.34615384615384615</v>
      </c>
      <c r="S88">
        <v>1</v>
      </c>
      <c r="T88" s="564">
        <f>'Grazing metric'!AM19</f>
        <v>0.00480394858840983</v>
      </c>
      <c r="U88" s="565">
        <f>'Grazing metric'!AN19</f>
        <v>50000</v>
      </c>
      <c r="V88">
        <f>'Grazing metric'!AO19</f>
        <v>9.60789717681966E-08</v>
      </c>
      <c r="W88" s="61">
        <f t="shared" si="6"/>
        <v>0.0960789717681966</v>
      </c>
      <c r="AB88" s="583">
        <f>(T88+AA88)</f>
        <v>0.00480394858840983</v>
      </c>
      <c r="AC88" s="668">
        <f>AB88/U88*1000000</f>
        <v>0.0960789717681966</v>
      </c>
      <c r="AD88" s="46">
        <f t="shared" si="9"/>
        <v>63</v>
      </c>
    </row>
  </sheetData>
  <sheetProtection/>
  <printOptions/>
  <pageMargins left="0.75" right="0.75" top="1" bottom="1" header="0.5" footer="0.5"/>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BB45"/>
  <sheetViews>
    <sheetView zoomScalePageLayoutView="0" workbookViewId="0" topLeftCell="A1">
      <pane xSplit="4" ySplit="10" topLeftCell="E12" activePane="bottomRight" state="frozen"/>
      <selection pane="topLeft" activeCell="A1" sqref="A1"/>
      <selection pane="topRight" activeCell="E1" sqref="E1"/>
      <selection pane="bottomLeft" activeCell="A11" sqref="A11"/>
      <selection pane="bottomRight" activeCell="K12" sqref="K12"/>
    </sheetView>
  </sheetViews>
  <sheetFormatPr defaultColWidth="9.140625" defaultRowHeight="12.75"/>
  <cols>
    <col min="3" max="3" width="11.28125" style="0" customWidth="1"/>
    <col min="4" max="4" width="13.140625" style="0" customWidth="1"/>
    <col min="5" max="6" width="11.28125" style="0" customWidth="1"/>
    <col min="7" max="7" width="12.7109375" style="0" customWidth="1"/>
    <col min="8" max="8" width="11.28125" style="0" customWidth="1"/>
    <col min="9" max="9" width="12.8515625" style="0" customWidth="1"/>
    <col min="10" max="10" width="20.140625" style="0" customWidth="1"/>
    <col min="11" max="11" width="14.140625" style="0" customWidth="1"/>
    <col min="12" max="12" width="7.00390625" style="0" customWidth="1"/>
    <col min="13" max="13" width="47.7109375" style="308" customWidth="1"/>
    <col min="14" max="15" width="12.7109375" style="0" customWidth="1"/>
    <col min="16" max="16" width="21.7109375" style="0" customWidth="1"/>
    <col min="17" max="18" width="12.7109375" style="0" customWidth="1"/>
    <col min="19" max="19" width="8.8515625" style="0" customWidth="1"/>
    <col min="20" max="39" width="17.7109375" style="0" customWidth="1"/>
    <col min="40" max="42" width="15.421875" style="0" customWidth="1"/>
    <col min="43" max="43" width="18.140625" style="0" customWidth="1"/>
    <col min="44" max="44" width="16.421875" style="0" customWidth="1"/>
    <col min="45" max="45" width="16.00390625" style="0" customWidth="1"/>
    <col min="46" max="46" width="15.7109375" style="0" customWidth="1"/>
    <col min="47" max="47" width="18.140625" style="76" customWidth="1"/>
    <col min="48" max="48" width="18.140625" style="0" customWidth="1"/>
    <col min="49" max="49" width="18.140625" style="76" customWidth="1"/>
    <col min="50" max="50" width="18.140625" style="0" customWidth="1"/>
    <col min="51" max="51" width="15.28125" style="0" customWidth="1"/>
    <col min="52" max="52" width="12.57421875" style="0" customWidth="1"/>
    <col min="53" max="53" width="12.421875" style="0" bestFit="1" customWidth="1"/>
    <col min="54" max="54" width="27.00390625" style="0" customWidth="1"/>
  </cols>
  <sheetData>
    <row r="1" spans="2:52" ht="38.25" hidden="1">
      <c r="B1" s="1"/>
      <c r="C1" t="s">
        <v>678</v>
      </c>
      <c r="AU1" s="280"/>
      <c r="AV1" s="280"/>
      <c r="AW1" s="280"/>
      <c r="AY1" s="19" t="s">
        <v>418</v>
      </c>
      <c r="AZ1" s="15"/>
    </row>
    <row r="2" spans="2:51" ht="12.75" hidden="1">
      <c r="B2" s="2"/>
      <c r="C2" t="s">
        <v>679</v>
      </c>
      <c r="AU2" s="280"/>
      <c r="AV2" s="280"/>
      <c r="AW2" s="280"/>
      <c r="AY2" s="51"/>
    </row>
    <row r="3" spans="2:51" ht="12.75" hidden="1">
      <c r="B3" s="3"/>
      <c r="C3" t="s">
        <v>680</v>
      </c>
      <c r="AU3" s="280"/>
      <c r="AV3" s="280"/>
      <c r="AW3" s="280"/>
      <c r="AY3" s="51"/>
    </row>
    <row r="4" spans="2:51" ht="12.75" hidden="1">
      <c r="B4" s="4"/>
      <c r="C4" t="s">
        <v>681</v>
      </c>
      <c r="AU4" s="280"/>
      <c r="AV4" s="280"/>
      <c r="AW4" s="280"/>
      <c r="AY4" s="51"/>
    </row>
    <row r="5" spans="2:51" ht="12.75" hidden="1">
      <c r="B5" s="5"/>
      <c r="C5" t="s">
        <v>682</v>
      </c>
      <c r="AB5" s="47"/>
      <c r="AC5" s="48" t="s">
        <v>684</v>
      </c>
      <c r="AD5" s="48"/>
      <c r="AE5" s="48"/>
      <c r="AF5" s="48"/>
      <c r="AG5" s="48"/>
      <c r="AH5" s="48"/>
      <c r="AI5" s="48"/>
      <c r="AJ5" s="48"/>
      <c r="AK5" s="48"/>
      <c r="AU5" s="280"/>
      <c r="AV5" s="280"/>
      <c r="AW5" s="280"/>
      <c r="AY5" s="51"/>
    </row>
    <row r="6" spans="2:51" ht="12.75" customHeight="1" hidden="1">
      <c r="B6" s="6"/>
      <c r="C6" t="s">
        <v>683</v>
      </c>
      <c r="AN6" s="789" t="s">
        <v>685</v>
      </c>
      <c r="AO6" s="7"/>
      <c r="AP6" s="7"/>
      <c r="AU6" s="280"/>
      <c r="AV6" s="280"/>
      <c r="AW6" s="280"/>
      <c r="AY6" s="51"/>
    </row>
    <row r="7" spans="3:52" s="8" customFormat="1" ht="30.75" customHeight="1">
      <c r="C7" s="790" t="s">
        <v>686</v>
      </c>
      <c r="D7" s="790"/>
      <c r="E7" s="790"/>
      <c r="F7" s="790"/>
      <c r="G7" s="790"/>
      <c r="H7" s="790"/>
      <c r="I7" s="790"/>
      <c r="J7" s="790"/>
      <c r="K7" s="790"/>
      <c r="L7" s="9"/>
      <c r="M7" s="309"/>
      <c r="N7" s="10"/>
      <c r="O7" s="10"/>
      <c r="P7" s="10"/>
      <c r="Q7" s="10"/>
      <c r="R7" s="10"/>
      <c r="S7" s="12" t="s">
        <v>449</v>
      </c>
      <c r="T7" s="791" t="s">
        <v>689</v>
      </c>
      <c r="U7" s="791"/>
      <c r="V7" s="791"/>
      <c r="W7" s="791"/>
      <c r="X7" s="791"/>
      <c r="Y7" s="791"/>
      <c r="Z7" s="791"/>
      <c r="AA7" s="791"/>
      <c r="AB7" s="791"/>
      <c r="AC7" s="11"/>
      <c r="AD7" s="11"/>
      <c r="AE7" s="11"/>
      <c r="AF7" s="11"/>
      <c r="AG7" s="11"/>
      <c r="AH7" s="11"/>
      <c r="AI7" s="11"/>
      <c r="AJ7" s="11"/>
      <c r="AK7" s="11"/>
      <c r="AL7" s="11"/>
      <c r="AM7" s="9" t="s">
        <v>690</v>
      </c>
      <c r="AN7" s="789"/>
      <c r="AO7" s="13" t="s">
        <v>691</v>
      </c>
      <c r="AP7" s="13"/>
      <c r="AU7" s="439"/>
      <c r="AV7" s="439"/>
      <c r="AW7" s="439"/>
      <c r="AZ7"/>
    </row>
    <row r="8" spans="2:52" ht="51.75" customHeight="1">
      <c r="B8" s="15" t="s">
        <v>694</v>
      </c>
      <c r="C8" s="16" t="s">
        <v>695</v>
      </c>
      <c r="D8" s="16"/>
      <c r="E8" s="16"/>
      <c r="F8" s="16"/>
      <c r="G8" s="16"/>
      <c r="H8" s="16"/>
      <c r="I8" s="16"/>
      <c r="J8" s="16"/>
      <c r="K8" s="16" t="s">
        <v>696</v>
      </c>
      <c r="L8" s="16"/>
      <c r="M8" s="310"/>
      <c r="N8" s="17" t="s">
        <v>697</v>
      </c>
      <c r="O8" s="17" t="s">
        <v>698</v>
      </c>
      <c r="P8" s="17" t="s">
        <v>699</v>
      </c>
      <c r="Q8" s="17" t="s">
        <v>700</v>
      </c>
      <c r="R8" s="17" t="s">
        <v>701</v>
      </c>
      <c r="S8" s="16" t="s">
        <v>517</v>
      </c>
      <c r="T8" s="18" t="s">
        <v>676</v>
      </c>
      <c r="U8" s="18" t="s">
        <v>335</v>
      </c>
      <c r="V8" s="18"/>
      <c r="W8" s="18"/>
      <c r="X8" s="18"/>
      <c r="Y8" s="18"/>
      <c r="Z8" s="18"/>
      <c r="AA8" s="18"/>
      <c r="AB8" s="18"/>
      <c r="AC8" s="18" t="s">
        <v>520</v>
      </c>
      <c r="AD8" s="18" t="s">
        <v>521</v>
      </c>
      <c r="AE8" s="18" t="s">
        <v>522</v>
      </c>
      <c r="AF8" s="18" t="s">
        <v>25</v>
      </c>
      <c r="AG8" s="18" t="s">
        <v>25</v>
      </c>
      <c r="AH8" s="18" t="s">
        <v>25</v>
      </c>
      <c r="AI8" s="18" t="s">
        <v>26</v>
      </c>
      <c r="AJ8" s="18" t="s">
        <v>26</v>
      </c>
      <c r="AK8" s="18" t="s">
        <v>26</v>
      </c>
      <c r="AL8" s="18"/>
      <c r="AM8" s="16" t="s">
        <v>711</v>
      </c>
      <c r="AN8" s="16" t="s">
        <v>712</v>
      </c>
      <c r="AO8" s="16" t="s">
        <v>713</v>
      </c>
      <c r="AP8" s="16" t="s">
        <v>184</v>
      </c>
      <c r="AQ8" s="19" t="s">
        <v>714</v>
      </c>
      <c r="AR8" s="19" t="s">
        <v>715</v>
      </c>
      <c r="AT8" s="15" t="s">
        <v>716</v>
      </c>
      <c r="AU8" s="278" t="s">
        <v>717</v>
      </c>
      <c r="AV8" s="278" t="s">
        <v>533</v>
      </c>
      <c r="AW8" s="278" t="s">
        <v>534</v>
      </c>
      <c r="AX8" s="13" t="s">
        <v>535</v>
      </c>
      <c r="AY8" s="19" t="s">
        <v>718</v>
      </c>
      <c r="AZ8" s="15"/>
    </row>
    <row r="9" spans="2:53" ht="76.5">
      <c r="B9" s="20" t="s">
        <v>719</v>
      </c>
      <c r="C9" s="21" t="s">
        <v>720</v>
      </c>
      <c r="D9" s="90" t="s">
        <v>332</v>
      </c>
      <c r="E9" s="90" t="s">
        <v>451</v>
      </c>
      <c r="F9" s="90" t="s">
        <v>452</v>
      </c>
      <c r="G9" s="90" t="s">
        <v>453</v>
      </c>
      <c r="H9" s="90" t="s">
        <v>454</v>
      </c>
      <c r="I9" s="90" t="s">
        <v>455</v>
      </c>
      <c r="J9" s="90" t="s">
        <v>456</v>
      </c>
      <c r="K9" s="21" t="s">
        <v>721</v>
      </c>
      <c r="L9" s="21" t="s">
        <v>460</v>
      </c>
      <c r="M9" s="311" t="s">
        <v>459</v>
      </c>
      <c r="N9" s="21" t="s">
        <v>722</v>
      </c>
      <c r="O9" s="21" t="s">
        <v>723</v>
      </c>
      <c r="P9" s="21" t="s">
        <v>724</v>
      </c>
      <c r="Q9" s="21" t="s">
        <v>725</v>
      </c>
      <c r="R9" s="21" t="s">
        <v>726</v>
      </c>
      <c r="S9" s="22" t="s">
        <v>688</v>
      </c>
      <c r="T9" s="22" t="s">
        <v>728</v>
      </c>
      <c r="U9" s="22" t="s">
        <v>338</v>
      </c>
      <c r="V9" s="22" t="s">
        <v>429</v>
      </c>
      <c r="W9" s="15" t="s">
        <v>432</v>
      </c>
      <c r="X9" s="15" t="s">
        <v>16</v>
      </c>
      <c r="Y9" s="15" t="s">
        <v>17</v>
      </c>
      <c r="Z9" s="15" t="s">
        <v>18</v>
      </c>
      <c r="AA9" s="15" t="s">
        <v>19</v>
      </c>
      <c r="AB9" s="22" t="s">
        <v>731</v>
      </c>
      <c r="AC9" s="22" t="s">
        <v>732</v>
      </c>
      <c r="AD9" s="22" t="s">
        <v>732</v>
      </c>
      <c r="AE9" s="22" t="s">
        <v>522</v>
      </c>
      <c r="AF9" s="22" t="s">
        <v>20</v>
      </c>
      <c r="AG9" s="22" t="s">
        <v>22</v>
      </c>
      <c r="AH9" s="22" t="s">
        <v>28</v>
      </c>
      <c r="AI9" s="22" t="s">
        <v>20</v>
      </c>
      <c r="AJ9" s="22" t="s">
        <v>22</v>
      </c>
      <c r="AK9" s="22" t="s">
        <v>28</v>
      </c>
      <c r="AL9" s="22" t="s">
        <v>29</v>
      </c>
      <c r="AM9" s="22" t="s">
        <v>677</v>
      </c>
      <c r="AN9" s="15" t="s">
        <v>735</v>
      </c>
      <c r="AO9" s="16"/>
      <c r="AP9" s="16"/>
      <c r="AQ9" s="19" t="s">
        <v>714</v>
      </c>
      <c r="AR9" s="19" t="s">
        <v>715</v>
      </c>
      <c r="AS9" s="19" t="s">
        <v>331</v>
      </c>
      <c r="AT9" s="21" t="s">
        <v>333</v>
      </c>
      <c r="AU9" s="274" t="s">
        <v>737</v>
      </c>
      <c r="AV9" s="274" t="s">
        <v>532</v>
      </c>
      <c r="AW9" s="274" t="s">
        <v>463</v>
      </c>
      <c r="AX9" s="19" t="s">
        <v>536</v>
      </c>
      <c r="AY9" s="433" t="s">
        <v>418</v>
      </c>
      <c r="AZ9" s="23" t="s">
        <v>687</v>
      </c>
      <c r="BA9" s="307" t="s">
        <v>419</v>
      </c>
    </row>
    <row r="10" spans="1:53" ht="70.5" customHeight="1">
      <c r="A10" s="288" t="s">
        <v>1114</v>
      </c>
      <c r="B10" s="24"/>
      <c r="C10" s="16" t="s">
        <v>695</v>
      </c>
      <c r="D10" s="16" t="s">
        <v>816</v>
      </c>
      <c r="E10" s="16"/>
      <c r="F10" s="16"/>
      <c r="G10" s="16"/>
      <c r="H10" s="16"/>
      <c r="I10" s="16"/>
      <c r="J10" s="16"/>
      <c r="K10" s="16" t="s">
        <v>458</v>
      </c>
      <c r="L10" s="16"/>
      <c r="M10" s="310"/>
      <c r="N10" s="16" t="s">
        <v>738</v>
      </c>
      <c r="O10" s="16" t="s">
        <v>739</v>
      </c>
      <c r="P10" s="29" t="s">
        <v>655</v>
      </c>
      <c r="Q10" s="16" t="s">
        <v>673</v>
      </c>
      <c r="R10" s="16" t="s">
        <v>756</v>
      </c>
      <c r="S10" s="23" t="s">
        <v>584</v>
      </c>
      <c r="T10" s="15" t="s">
        <v>758</v>
      </c>
      <c r="U10" s="15" t="s">
        <v>759</v>
      </c>
      <c r="V10" s="15" t="s">
        <v>430</v>
      </c>
      <c r="W10" s="15"/>
      <c r="X10" s="15"/>
      <c r="Y10" s="15"/>
      <c r="Z10" s="15"/>
      <c r="AA10" s="15"/>
      <c r="AB10" s="15" t="s">
        <v>760</v>
      </c>
      <c r="AC10" s="16" t="s">
        <v>761</v>
      </c>
      <c r="AD10" s="16" t="s">
        <v>761</v>
      </c>
      <c r="AE10" s="16" t="s">
        <v>657</v>
      </c>
      <c r="AF10" s="15" t="s">
        <v>21</v>
      </c>
      <c r="AG10" s="15" t="s">
        <v>23</v>
      </c>
      <c r="AH10" s="15" t="s">
        <v>24</v>
      </c>
      <c r="AI10" s="15" t="s">
        <v>27</v>
      </c>
      <c r="AJ10" s="15" t="s">
        <v>23</v>
      </c>
      <c r="AK10" s="15" t="s">
        <v>24</v>
      </c>
      <c r="AL10" s="15" t="s">
        <v>30</v>
      </c>
      <c r="AM10" s="15"/>
      <c r="AN10" s="26" t="s">
        <v>764</v>
      </c>
      <c r="AO10" s="27" t="s">
        <v>765</v>
      </c>
      <c r="AP10" s="27"/>
      <c r="AQ10" s="25" t="s">
        <v>766</v>
      </c>
      <c r="AR10" s="25" t="s">
        <v>767</v>
      </c>
      <c r="AS10" s="25" t="s">
        <v>767</v>
      </c>
      <c r="AT10" s="25" t="s">
        <v>768</v>
      </c>
      <c r="AU10" s="437" t="s">
        <v>582</v>
      </c>
      <c r="AV10" s="274" t="s">
        <v>530</v>
      </c>
      <c r="AW10" s="437" t="s">
        <v>583</v>
      </c>
      <c r="AX10" s="19" t="s">
        <v>530</v>
      </c>
      <c r="AY10" s="434" t="s">
        <v>420</v>
      </c>
      <c r="AZ10" s="25"/>
      <c r="BA10" s="19" t="s">
        <v>421</v>
      </c>
    </row>
    <row r="11" spans="3:52" ht="38.25">
      <c r="C11" s="28" t="s">
        <v>770</v>
      </c>
      <c r="D11" s="28"/>
      <c r="E11" s="28"/>
      <c r="F11" s="28"/>
      <c r="G11" s="28"/>
      <c r="H11" s="28"/>
      <c r="I11" s="28"/>
      <c r="J11" s="28"/>
      <c r="K11" s="28" t="s">
        <v>770</v>
      </c>
      <c r="L11" s="28"/>
      <c r="M11" s="312"/>
      <c r="N11" s="29"/>
      <c r="O11" s="29"/>
      <c r="P11" s="29"/>
      <c r="Q11" s="29"/>
      <c r="R11" s="29"/>
      <c r="S11" s="28"/>
      <c r="T11" s="28"/>
      <c r="U11" s="28"/>
      <c r="V11" s="28"/>
      <c r="W11" s="28"/>
      <c r="X11" s="28"/>
      <c r="Y11" s="28"/>
      <c r="Z11" s="28"/>
      <c r="AA11" s="28"/>
      <c r="AB11" s="28"/>
      <c r="AC11" s="28"/>
      <c r="AD11" s="28"/>
      <c r="AE11" s="28"/>
      <c r="AF11" s="28" t="s">
        <v>771</v>
      </c>
      <c r="AG11" s="28" t="s">
        <v>771</v>
      </c>
      <c r="AH11" s="28" t="s">
        <v>772</v>
      </c>
      <c r="AI11" s="28"/>
      <c r="AJ11" s="28"/>
      <c r="AK11" s="28"/>
      <c r="AL11" s="28"/>
      <c r="AM11" s="24" t="s">
        <v>763</v>
      </c>
      <c r="AN11" s="28"/>
      <c r="AO11" s="30" t="s">
        <v>684</v>
      </c>
      <c r="AP11" s="30"/>
      <c r="AQ11" s="28"/>
      <c r="AR11" s="28"/>
      <c r="AS11" s="28"/>
      <c r="AT11" s="28"/>
      <c r="AU11" s="438" t="s">
        <v>684</v>
      </c>
      <c r="AV11" s="27"/>
      <c r="AW11" s="438"/>
      <c r="AX11" s="27"/>
      <c r="AY11" s="436" t="s">
        <v>422</v>
      </c>
      <c r="AZ11" s="31" t="s">
        <v>757</v>
      </c>
    </row>
    <row r="12" spans="1:53" ht="39.75" customHeight="1">
      <c r="A12" s="281">
        <v>16</v>
      </c>
      <c r="B12" s="126">
        <f>'Data entry'!A16</f>
        <v>22</v>
      </c>
      <c r="C12" s="124">
        <f>'Data entry'!B16</f>
        <v>14</v>
      </c>
      <c r="D12" s="124" t="str">
        <f>'Data entry'!C16</f>
        <v>Name removed</v>
      </c>
      <c r="E12" s="120" t="s">
        <v>778</v>
      </c>
      <c r="F12" s="130">
        <f>'Data entry'!E16</f>
        <v>15000</v>
      </c>
      <c r="G12" s="130">
        <f>'Data entry'!F16</f>
        <v>7500</v>
      </c>
      <c r="H12" s="130">
        <f>'Data entry'!G16</f>
        <v>7500</v>
      </c>
      <c r="I12" s="131">
        <f>H12/F12</f>
        <v>0.5</v>
      </c>
      <c r="J12" s="130" t="str">
        <f>'Data entry'!I16</f>
        <v>Pipework</v>
      </c>
      <c r="K12" s="114" t="str">
        <f>'Data entry'!J16</f>
        <v>Lot number removed</v>
      </c>
      <c r="L12" s="114">
        <f>'Data entry'!K16</f>
        <v>0</v>
      </c>
      <c r="M12" s="461" t="str">
        <f>'Data entry'!T16</f>
        <v>changing effectiveness of water management, 5% improvement, 5 year capital </v>
      </c>
      <c r="N12" s="246">
        <f>'Data entry'!L16</f>
        <v>0</v>
      </c>
      <c r="O12" s="246">
        <f>'Data entry'!M16</f>
        <v>0</v>
      </c>
      <c r="P12" s="246">
        <f>'Data entry'!N16</f>
        <v>3</v>
      </c>
      <c r="Q12" s="246">
        <f>'Data entry'!O16</f>
        <v>5</v>
      </c>
      <c r="R12" s="246">
        <f>'Data entry'!P16</f>
        <v>0</v>
      </c>
      <c r="S12" s="93">
        <f>'current bses'!L16+'current bses'!O16</f>
        <v>9.975</v>
      </c>
      <c r="T12" s="34" t="str">
        <f>'Data entry'!I16</f>
        <v>Pipework</v>
      </c>
      <c r="U12" s="34">
        <f>'Data entry'!R16</f>
        <v>405</v>
      </c>
      <c r="V12" s="125">
        <f>'thorburn clases'!D16</f>
        <v>1</v>
      </c>
      <c r="W12" s="125">
        <f>'N movement slave'!G16</f>
        <v>95.5</v>
      </c>
      <c r="X12" s="125">
        <f>'N movement slave'!H16</f>
        <v>1876</v>
      </c>
      <c r="Y12" s="125">
        <f>'N movement slave'!I16</f>
        <v>18</v>
      </c>
      <c r="Z12" s="125">
        <f>'N movement slave'!J16</f>
        <v>363</v>
      </c>
      <c r="AA12" s="125">
        <f>'N movement slave'!K16</f>
        <v>0.1</v>
      </c>
      <c r="AB12" s="107">
        <f>1-0.15*S12/40</f>
        <v>0.96259375</v>
      </c>
      <c r="AC12" s="106">
        <f>'Data entry'!X16</f>
        <v>90.896</v>
      </c>
      <c r="AD12" s="106">
        <f>'Data entry'!Y16</f>
        <v>169.68900000000002</v>
      </c>
      <c r="AE12" s="36">
        <v>0.2</v>
      </c>
      <c r="AF12" s="35">
        <f>(Y12+AA12)*(AC12*AE12+AD12*1-AE12)/W12</f>
        <v>35.5685279581152</v>
      </c>
      <c r="AG12" s="35">
        <f>AF12*AA12/(Y12+AA12)</f>
        <v>0.19651120418848175</v>
      </c>
      <c r="AH12" s="35">
        <f>AG12*U12*AB12</f>
        <v>76.60998506750659</v>
      </c>
      <c r="AI12" s="35">
        <f>((AC12*AE12+AD12*(1-AE12))-W12)*0.5+Y12+AA12</f>
        <v>47.31520000000001</v>
      </c>
      <c r="AJ12" s="35">
        <f>AI12*AA12/(Y12+AA12)</f>
        <v>0.2614099447513813</v>
      </c>
      <c r="AK12" s="35">
        <f>AJ12*U12*AB12</f>
        <v>101.9107894972376</v>
      </c>
      <c r="AL12" s="549">
        <f>'Data entry'!BE16</f>
        <v>0.5</v>
      </c>
      <c r="AM12" s="536">
        <f>AH12*AL12</f>
        <v>38.30499253375329</v>
      </c>
      <c r="AN12" s="39">
        <v>5</v>
      </c>
      <c r="AO12" s="40">
        <v>1</v>
      </c>
      <c r="AP12" s="38">
        <f>AM12*AN12*AO12</f>
        <v>191.52496266876648</v>
      </c>
      <c r="AQ12" s="41">
        <v>7460</v>
      </c>
      <c r="AR12" s="41">
        <v>401</v>
      </c>
      <c r="AS12" s="41">
        <f aca="true" t="shared" si="0" ref="AS12:AS32">AQ12+AR12</f>
        <v>7861</v>
      </c>
      <c r="AT12" s="42">
        <f aca="true" t="shared" si="1" ref="AT12:AT32">AM12*AN12*AO12/1000/AS12</f>
        <v>2.4363943858130834E-05</v>
      </c>
      <c r="AU12" s="432">
        <f>'Verification score'!M16</f>
        <v>0.24625</v>
      </c>
      <c r="AV12" s="107">
        <f>'Data entry'!$AU$3</f>
        <v>0.1</v>
      </c>
      <c r="AW12" s="432">
        <f>'future bses'!AI16</f>
        <v>0.0125</v>
      </c>
      <c r="AX12" s="107">
        <f>'Data entry'!$AV$3</f>
        <v>0.05</v>
      </c>
      <c r="AY12" s="43">
        <f>AT12*(1+AU12*AV12)*(1+AW12*AX12)*100</f>
        <v>0.002497950841687208</v>
      </c>
      <c r="AZ12" s="537">
        <f>H12</f>
        <v>7500</v>
      </c>
      <c r="BA12">
        <f>AY12/AZ12</f>
        <v>3.330601122249611E-07</v>
      </c>
    </row>
    <row r="13" spans="1:53" ht="39.75" customHeight="1">
      <c r="A13" s="281">
        <v>17</v>
      </c>
      <c r="B13" s="126" t="str">
        <f>'Data entry'!A17</f>
        <v>27a</v>
      </c>
      <c r="C13" s="124">
        <f>'Data entry'!B17</f>
        <v>15</v>
      </c>
      <c r="D13" s="124" t="str">
        <f>'Data entry'!C17</f>
        <v>Name removed</v>
      </c>
      <c r="E13" s="124" t="str">
        <f>'Data entry'!D17</f>
        <v>Cane</v>
      </c>
      <c r="F13" s="251">
        <f>'Data entry'!E17</f>
        <v>40000</v>
      </c>
      <c r="G13" s="251">
        <f>'Data entry'!F17</f>
        <v>15000</v>
      </c>
      <c r="H13" s="251">
        <f>'Data entry'!G17</f>
        <v>25000</v>
      </c>
      <c r="I13" s="252">
        <f>H13/F13</f>
        <v>0.625</v>
      </c>
      <c r="J13" s="251" t="str">
        <f>'Data entry'!I17</f>
        <v>GPS unit</v>
      </c>
      <c r="K13" s="124" t="str">
        <f>'Data entry'!J17</f>
        <v>Lot number removed</v>
      </c>
      <c r="L13" s="124">
        <f>'Data entry'!K17</f>
        <v>0</v>
      </c>
      <c r="M13" s="461" t="str">
        <f>'Data entry'!T17</f>
        <v>precision farming, assume 0.25% improvement in N, 2.5 years for capital works</v>
      </c>
      <c r="N13" s="246">
        <f>'Data entry'!L17</f>
        <v>0</v>
      </c>
      <c r="O13" s="246">
        <f>'Data entry'!M17</f>
        <v>0</v>
      </c>
      <c r="P13" s="246">
        <f>'Data entry'!N17</f>
        <v>3</v>
      </c>
      <c r="Q13" s="246">
        <f>'Data entry'!O17</f>
        <v>5</v>
      </c>
      <c r="R13" s="246">
        <f>'Data entry'!P17</f>
        <v>0</v>
      </c>
      <c r="S13" s="93">
        <f>'current bses'!L17+'current bses'!O17</f>
        <v>29.75</v>
      </c>
      <c r="T13" s="34" t="str">
        <f>'Data entry'!I17</f>
        <v>GPS unit</v>
      </c>
      <c r="U13" s="34">
        <f>'Data entry'!AD17</f>
        <v>121</v>
      </c>
      <c r="V13" s="125">
        <f>'thorburn clases'!D17</f>
        <v>2</v>
      </c>
      <c r="W13" s="125">
        <f>'N movement slave'!G17</f>
        <v>136</v>
      </c>
      <c r="X13" s="125">
        <f>'N movement slave'!H17</f>
        <v>1605</v>
      </c>
      <c r="Y13" s="125">
        <f>'N movement slave'!I17</f>
        <v>47</v>
      </c>
      <c r="Z13" s="125">
        <f>'N movement slave'!J17</f>
        <v>310</v>
      </c>
      <c r="AA13" s="125">
        <f>'N movement slave'!K17</f>
        <v>2</v>
      </c>
      <c r="AB13" s="107">
        <f aca="true" t="shared" si="2" ref="AB13:AB33">1-0.15*S13/40</f>
        <v>0.8884375</v>
      </c>
      <c r="AC13" s="106">
        <f>'Data entry'!X17</f>
        <v>116.7075</v>
      </c>
      <c r="AD13" s="106">
        <f>'Data entry'!Y17</f>
        <v>263.055</v>
      </c>
      <c r="AE13" s="36">
        <v>0.2</v>
      </c>
      <c r="AF13" s="35">
        <f aca="true" t="shared" si="3" ref="AF13:AF31">(Y13+AA13)*(AC13*AE13+AD13*1-AE13)/W13</f>
        <v>103.11491544117648</v>
      </c>
      <c r="AG13" s="35">
        <f aca="true" t="shared" si="4" ref="AG13:AG32">AF13*AA13/(Y13+AA13)</f>
        <v>4.20877205882353</v>
      </c>
      <c r="AH13" s="35">
        <f aca="true" t="shared" si="5" ref="AH13:AH32">AG13*U13*AB13</f>
        <v>452.4469420473346</v>
      </c>
      <c r="AI13" s="35">
        <f aca="true" t="shared" si="6" ref="AI13:AI31">((AC13*AE13+AD13*(1-AE13))-W13)*0.5+Y13+AA13</f>
        <v>97.89275</v>
      </c>
      <c r="AJ13" s="35">
        <f aca="true" t="shared" si="7" ref="AJ13:AJ32">AI13*AA13/(Y13+AA13)</f>
        <v>3.995622448979592</v>
      </c>
      <c r="AK13" s="35">
        <f aca="true" t="shared" si="8" ref="AK13:AK32">AJ13*U13*AB13</f>
        <v>429.5331591613521</v>
      </c>
      <c r="AL13" s="549">
        <f>'Data entry'!BE17</f>
        <v>0.01</v>
      </c>
      <c r="AM13" s="536">
        <f aca="true" t="shared" si="9" ref="AM13:AM33">AH13*AL13</f>
        <v>4.524469420473346</v>
      </c>
      <c r="AN13" s="39">
        <v>2.5</v>
      </c>
      <c r="AO13" s="40">
        <v>1</v>
      </c>
      <c r="AP13" s="38">
        <f aca="true" t="shared" si="10" ref="AP13:AP32">AM13*AN13*AO13</f>
        <v>11.311173551183364</v>
      </c>
      <c r="AQ13" s="41">
        <v>7460</v>
      </c>
      <c r="AR13" s="41">
        <v>401</v>
      </c>
      <c r="AS13" s="41">
        <f>AQ13+AR13</f>
        <v>7861</v>
      </c>
      <c r="AT13" s="42">
        <f t="shared" si="1"/>
        <v>1.4388975386316452E-06</v>
      </c>
      <c r="AU13" s="432">
        <f>'Verification score'!M17</f>
        <v>0.4658333333333334</v>
      </c>
      <c r="AV13" s="107">
        <f>'Data entry'!$AU$3</f>
        <v>0.1</v>
      </c>
      <c r="AW13" s="432">
        <f>'future bses'!AI17</f>
        <v>0.009642857142857153</v>
      </c>
      <c r="AX13" s="107">
        <f>'Data entry'!$AV$3</f>
        <v>0.05</v>
      </c>
      <c r="AY13" s="43">
        <f aca="true" t="shared" si="11" ref="AY13:AY33">AT13*(1+AU13*AV13)*(1+AW13*AX13)*100</f>
        <v>0.00015066522538584196</v>
      </c>
      <c r="AZ13" s="537">
        <f aca="true" t="shared" si="12" ref="AZ13:AZ33">H13</f>
        <v>25000</v>
      </c>
      <c r="BA13">
        <f aca="true" t="shared" si="13" ref="BA13:BA33">AY13/AZ13</f>
        <v>6.026609015433678E-09</v>
      </c>
    </row>
    <row r="14" spans="1:53" ht="39.75" customHeight="1">
      <c r="A14" s="281">
        <v>18</v>
      </c>
      <c r="B14" s="126" t="str">
        <f>'Data entry'!A18</f>
        <v>27b</v>
      </c>
      <c r="C14" s="124">
        <f>'Data entry'!B18</f>
        <v>16</v>
      </c>
      <c r="D14" s="124" t="str">
        <f>'Data entry'!C18</f>
        <v>Name removed</v>
      </c>
      <c r="E14" s="124" t="str">
        <f>'Data entry'!D18</f>
        <v>Cane</v>
      </c>
      <c r="F14" s="251">
        <f>'Data entry'!E18</f>
        <v>10000</v>
      </c>
      <c r="G14" s="251">
        <f>'Data entry'!F18</f>
        <v>3000</v>
      </c>
      <c r="H14" s="251">
        <f>'Data entry'!G18</f>
        <v>7000</v>
      </c>
      <c r="I14" s="252">
        <f>H14/F14</f>
        <v>0.7</v>
      </c>
      <c r="J14" s="251" t="str">
        <f>'Data entry'!I18</f>
        <v>Bedformer</v>
      </c>
      <c r="K14" s="124" t="str">
        <f>'Data entry'!J18</f>
        <v>Lot number removed</v>
      </c>
      <c r="L14" s="124">
        <f>'Data entry'!K18</f>
        <v>0</v>
      </c>
      <c r="M14" s="461" t="str">
        <f>'Data entry'!T18</f>
        <v>precision farming, assume 0.25% improvement in N, 2.5 years for capital works - has values but don't make sense</v>
      </c>
      <c r="N14" s="246">
        <f>'Data entry'!L18</f>
        <v>0</v>
      </c>
      <c r="O14" s="246">
        <f>'Data entry'!M18</f>
        <v>0</v>
      </c>
      <c r="P14" s="246">
        <f>'Data entry'!N18</f>
        <v>3</v>
      </c>
      <c r="Q14" s="246">
        <f>'Data entry'!O18</f>
        <v>5</v>
      </c>
      <c r="R14" s="246">
        <f>'Data entry'!P18</f>
        <v>1</v>
      </c>
      <c r="S14" s="93">
        <f>'current bses'!L18+'current bses'!O18</f>
        <v>29.75</v>
      </c>
      <c r="T14" s="34" t="str">
        <f>'Data entry'!I18</f>
        <v>Bedformer</v>
      </c>
      <c r="U14" s="34">
        <f>'Data entry'!AD18</f>
        <v>121</v>
      </c>
      <c r="V14" s="125">
        <f>'thorburn clases'!D18</f>
        <v>2</v>
      </c>
      <c r="W14" s="125">
        <f>'N movement slave'!G18</f>
        <v>136</v>
      </c>
      <c r="X14" s="125">
        <f>'N movement slave'!H18</f>
        <v>1605</v>
      </c>
      <c r="Y14" s="125">
        <f>'N movement slave'!I18</f>
        <v>47</v>
      </c>
      <c r="Z14" s="125">
        <f>'N movement slave'!J18</f>
        <v>310</v>
      </c>
      <c r="AA14" s="125">
        <f>'N movement slave'!K18</f>
        <v>2</v>
      </c>
      <c r="AB14" s="107">
        <f t="shared" si="2"/>
        <v>0.8884375</v>
      </c>
      <c r="AC14" s="106">
        <f>'Data entry'!X18</f>
        <v>117</v>
      </c>
      <c r="AD14" s="106">
        <f>'Data entry'!Y18</f>
        <v>263.055</v>
      </c>
      <c r="AE14" s="36">
        <v>0.2</v>
      </c>
      <c r="AF14" s="35">
        <f t="shared" si="3"/>
        <v>103.13599264705881</v>
      </c>
      <c r="AG14" s="35">
        <f t="shared" si="4"/>
        <v>4.209632352941176</v>
      </c>
      <c r="AH14" s="35">
        <f t="shared" si="5"/>
        <v>452.5394244715073</v>
      </c>
      <c r="AI14" s="35">
        <f t="shared" si="6"/>
        <v>97.92200000000001</v>
      </c>
      <c r="AJ14" s="35">
        <f t="shared" si="7"/>
        <v>3.9968163265306127</v>
      </c>
      <c r="AK14" s="35">
        <f t="shared" si="8"/>
        <v>429.66150211734697</v>
      </c>
      <c r="AL14" s="549">
        <f>'Data entry'!BE18</f>
        <v>0.01</v>
      </c>
      <c r="AM14" s="536">
        <f t="shared" si="9"/>
        <v>4.525394244715073</v>
      </c>
      <c r="AN14" s="39">
        <v>2.5</v>
      </c>
      <c r="AO14" s="40">
        <v>1</v>
      </c>
      <c r="AP14" s="38">
        <f t="shared" si="10"/>
        <v>11.313485611787682</v>
      </c>
      <c r="AQ14" s="41">
        <v>7460</v>
      </c>
      <c r="AR14" s="41">
        <v>401</v>
      </c>
      <c r="AS14" s="41">
        <f>AQ14+AR14</f>
        <v>7861</v>
      </c>
      <c r="AT14" s="42">
        <f t="shared" si="1"/>
        <v>1.4391916565052386E-06</v>
      </c>
      <c r="AU14" s="432">
        <f>'Verification score'!M18</f>
        <v>0.2791666666666667</v>
      </c>
      <c r="AV14" s="107">
        <f>'Data entry'!$AU$3</f>
        <v>0.1</v>
      </c>
      <c r="AW14" s="432">
        <f>'future bses'!AI18</f>
        <v>0.023928571428571428</v>
      </c>
      <c r="AX14" s="107">
        <f>'Data entry'!$AV$3</f>
        <v>0.05</v>
      </c>
      <c r="AY14" s="43">
        <f t="shared" si="11"/>
        <v>0.00014811390496966055</v>
      </c>
      <c r="AZ14" s="537">
        <f t="shared" si="12"/>
        <v>7000</v>
      </c>
      <c r="BA14">
        <f t="shared" si="13"/>
        <v>2.115912928138008E-08</v>
      </c>
    </row>
    <row r="15" spans="1:53" ht="39.75" customHeight="1">
      <c r="A15" s="281">
        <v>19</v>
      </c>
      <c r="B15" s="126">
        <f>'Data entry'!A19</f>
        <v>28</v>
      </c>
      <c r="C15" s="125">
        <f>'Data entry'!B19</f>
        <v>17</v>
      </c>
      <c r="D15" s="125" t="str">
        <f>'Data entry'!C19</f>
        <v>Name removed</v>
      </c>
      <c r="E15" s="120" t="str">
        <f>'Data entry'!D19</f>
        <v>Cane</v>
      </c>
      <c r="F15" s="253">
        <f>'Data entry'!E19</f>
        <v>70000</v>
      </c>
      <c r="G15" s="253">
        <f>'Data entry'!F19</f>
        <v>60000</v>
      </c>
      <c r="H15" s="253">
        <f>'Data entry'!G19</f>
        <v>10000</v>
      </c>
      <c r="I15" s="252">
        <f>H15/F15</f>
        <v>0.14285714285714285</v>
      </c>
      <c r="J15" s="253" t="str">
        <f>'Data entry'!I19</f>
        <v>irrigation improvement</v>
      </c>
      <c r="K15" s="114">
        <f>'Data entry'!J19</f>
        <v>0</v>
      </c>
      <c r="L15" s="114">
        <f>'Data entry'!K19</f>
        <v>0</v>
      </c>
      <c r="M15" s="461" t="str">
        <f>'Data entry'!T19</f>
        <v>changing effectiveness of water management, 5% improvement, 5 year capital </v>
      </c>
      <c r="N15" s="157">
        <f>'Data entry'!L19</f>
        <v>0</v>
      </c>
      <c r="O15" s="157">
        <f>'Data entry'!M19</f>
        <v>0</v>
      </c>
      <c r="P15" s="157">
        <f>'Data entry'!N19</f>
        <v>3</v>
      </c>
      <c r="Q15" s="157">
        <f>'Data entry'!O19</f>
        <v>6</v>
      </c>
      <c r="R15" s="157">
        <f>'Data entry'!P19</f>
        <v>0</v>
      </c>
      <c r="S15" s="93">
        <f>'current bses'!L19+'current bses'!O19</f>
        <v>6.8999999999999995</v>
      </c>
      <c r="T15" s="33" t="str">
        <f>'Data entry'!I19</f>
        <v>irrigation improvement</v>
      </c>
      <c r="U15" s="58">
        <f>'Data entry'!AD19</f>
        <v>100</v>
      </c>
      <c r="V15" s="125">
        <f>'thorburn clases'!D19</f>
        <v>3</v>
      </c>
      <c r="W15" s="125">
        <f>'N movement slave'!G19</f>
        <v>174</v>
      </c>
      <c r="X15" s="125">
        <f>'N movement slave'!H19</f>
        <v>1585</v>
      </c>
      <c r="Y15" s="125">
        <f>'N movement slave'!I19</f>
        <v>78</v>
      </c>
      <c r="Z15" s="125">
        <f>'N movement slave'!J19</f>
        <v>311</v>
      </c>
      <c r="AA15" s="125">
        <f>'N movement slave'!K19</f>
        <v>2</v>
      </c>
      <c r="AB15" s="107">
        <f t="shared" si="2"/>
        <v>0.974125</v>
      </c>
      <c r="AC15" s="106">
        <f>'Data entry'!X19</f>
        <v>148.925</v>
      </c>
      <c r="AD15" s="106">
        <f>'Data entry'!Y19</f>
        <v>108.0625</v>
      </c>
      <c r="AE15" s="36">
        <v>0.2</v>
      </c>
      <c r="AF15" s="35">
        <f t="shared" si="3"/>
        <v>63.28620689655173</v>
      </c>
      <c r="AG15" s="35">
        <f t="shared" si="4"/>
        <v>1.5821551724137932</v>
      </c>
      <c r="AH15" s="35">
        <f t="shared" si="5"/>
        <v>154.12169073275865</v>
      </c>
      <c r="AI15" s="35">
        <f t="shared" si="6"/>
        <v>51.11750000000001</v>
      </c>
      <c r="AJ15" s="35">
        <f t="shared" si="7"/>
        <v>1.2779375000000002</v>
      </c>
      <c r="AK15" s="35">
        <f t="shared" si="8"/>
        <v>124.48708671875002</v>
      </c>
      <c r="AL15" s="550">
        <f>'Data entry'!BE19</f>
        <v>0.02</v>
      </c>
      <c r="AM15" s="536">
        <f t="shared" si="9"/>
        <v>3.082433814655173</v>
      </c>
      <c r="AN15" s="39">
        <v>5</v>
      </c>
      <c r="AO15" s="40">
        <v>1</v>
      </c>
      <c r="AP15" s="38">
        <f t="shared" si="10"/>
        <v>15.412169073275866</v>
      </c>
      <c r="AQ15" s="41">
        <v>7460</v>
      </c>
      <c r="AR15" s="41">
        <v>401</v>
      </c>
      <c r="AS15" s="41">
        <f>AQ15+AR15</f>
        <v>7861</v>
      </c>
      <c r="AT15" s="42">
        <f t="shared" si="1"/>
        <v>1.960586321495467E-06</v>
      </c>
      <c r="AU15" s="432">
        <f>'Verification score'!M19</f>
        <v>0.35666666666666663</v>
      </c>
      <c r="AV15" s="107">
        <f>'Data entry'!$AU$3</f>
        <v>0.1</v>
      </c>
      <c r="AW15" s="432">
        <f>'future bses'!AI19</f>
        <v>0.029285714285714297</v>
      </c>
      <c r="AX15" s="107">
        <f>'Data entry'!$AV$3</f>
        <v>0.05</v>
      </c>
      <c r="AY15" s="43">
        <f t="shared" si="11"/>
        <v>0.00020334871527923334</v>
      </c>
      <c r="AZ15" s="537">
        <f t="shared" si="12"/>
        <v>10000</v>
      </c>
      <c r="BA15">
        <f t="shared" si="13"/>
        <v>2.0334871527923335E-08</v>
      </c>
    </row>
    <row r="16" spans="1:53" ht="39.75" customHeight="1">
      <c r="A16" s="281">
        <v>20</v>
      </c>
      <c r="B16" s="126">
        <f>'Data entry'!A20</f>
        <v>29</v>
      </c>
      <c r="C16" s="124">
        <f>'Data entry'!B20</f>
        <v>18</v>
      </c>
      <c r="D16" s="124" t="str">
        <f>'Data entry'!C20</f>
        <v>Name removed</v>
      </c>
      <c r="E16" s="120" t="s">
        <v>778</v>
      </c>
      <c r="F16" s="253">
        <f>'Data entry'!E20</f>
        <v>72000</v>
      </c>
      <c r="G16" s="253">
        <f>'Data entry'!F20</f>
        <v>18000</v>
      </c>
      <c r="H16" s="253">
        <f>'Data entry'!G20</f>
        <v>54000</v>
      </c>
      <c r="I16" s="252">
        <f>H16/F16</f>
        <v>0.75</v>
      </c>
      <c r="J16" s="253" t="str">
        <f>'Data entry'!I20</f>
        <v>Drain works</v>
      </c>
      <c r="K16" s="114" t="str">
        <f>'Data entry'!J20</f>
        <v>Lot number removed</v>
      </c>
      <c r="L16" s="114">
        <f>'Data entry'!K20</f>
        <v>0</v>
      </c>
      <c r="M16" s="461" t="str">
        <f>'Data entry'!T20</f>
        <v>either recycle pit (making existing one more effective -do we know the size?) or a water management project with set 5% effectiveness + 5 years capital works)</v>
      </c>
      <c r="N16" s="246">
        <f>'Data entry'!L20</f>
        <v>0</v>
      </c>
      <c r="O16" s="246">
        <f>'Data entry'!M20</f>
        <v>0</v>
      </c>
      <c r="P16" s="246">
        <f>'Data entry'!N20</f>
        <v>2</v>
      </c>
      <c r="Q16" s="246">
        <f>'Data entry'!O20</f>
        <v>5</v>
      </c>
      <c r="R16" s="246">
        <f>'Data entry'!P20</f>
        <v>0</v>
      </c>
      <c r="S16" s="93">
        <f>'current bses'!L20+'current bses'!O20</f>
        <v>31.45</v>
      </c>
      <c r="T16" s="34" t="str">
        <f>'Data entry'!I20</f>
        <v>Drain works</v>
      </c>
      <c r="U16" s="34">
        <f>'Data entry'!AD20</f>
        <v>270</v>
      </c>
      <c r="V16" s="125">
        <f>'thorburn clases'!D20</f>
        <v>5</v>
      </c>
      <c r="W16" s="125">
        <f>'N movement slave'!G20</f>
        <v>305</v>
      </c>
      <c r="X16" s="125">
        <f>'N movement slave'!H20</f>
        <v>437</v>
      </c>
      <c r="Y16" s="125">
        <f>'N movement slave'!I20</f>
        <v>40</v>
      </c>
      <c r="Z16" s="125">
        <f>'N movement slave'!J20</f>
        <v>1276</v>
      </c>
      <c r="AA16" s="125">
        <f>'N movement slave'!K20</f>
        <v>59</v>
      </c>
      <c r="AB16" s="107">
        <f t="shared" si="2"/>
        <v>0.8820625</v>
      </c>
      <c r="AC16" s="106">
        <f>'Data entry'!X20</f>
        <v>33.345</v>
      </c>
      <c r="AD16" s="106">
        <f>'Data entry'!Y20</f>
        <v>195</v>
      </c>
      <c r="AE16" s="36">
        <v>0.2</v>
      </c>
      <c r="AF16" s="35">
        <f t="shared" si="3"/>
        <v>65.39485573770492</v>
      </c>
      <c r="AG16" s="35">
        <f t="shared" si="4"/>
        <v>38.972691803278686</v>
      </c>
      <c r="AH16" s="35">
        <f t="shared" si="5"/>
        <v>9281.614490206966</v>
      </c>
      <c r="AI16" s="35">
        <f t="shared" si="6"/>
        <v>27.834500000000006</v>
      </c>
      <c r="AJ16" s="35">
        <f t="shared" si="7"/>
        <v>16.588237373737375</v>
      </c>
      <c r="AK16" s="35">
        <f t="shared" si="8"/>
        <v>3950.6027746874997</v>
      </c>
      <c r="AL16" s="549">
        <f>'Data entry'!BE20</f>
        <v>0.5</v>
      </c>
      <c r="AM16" s="536">
        <f t="shared" si="9"/>
        <v>4640.807245103483</v>
      </c>
      <c r="AN16" s="39">
        <v>5</v>
      </c>
      <c r="AO16" s="40">
        <v>1</v>
      </c>
      <c r="AP16" s="38">
        <f t="shared" si="10"/>
        <v>23204.036225517415</v>
      </c>
      <c r="AQ16" s="41">
        <v>7460</v>
      </c>
      <c r="AR16" s="41">
        <v>401</v>
      </c>
      <c r="AS16" s="41">
        <f t="shared" si="0"/>
        <v>7861</v>
      </c>
      <c r="AT16" s="42">
        <f t="shared" si="1"/>
        <v>0.002951791912672359</v>
      </c>
      <c r="AU16" s="432">
        <f>'Verification score'!M20</f>
        <v>0.7393333333333333</v>
      </c>
      <c r="AV16" s="107">
        <f>'Data entry'!$AU$3</f>
        <v>0.1</v>
      </c>
      <c r="AW16" s="432">
        <f>'future bses'!AI20</f>
        <v>0.14335714285714288</v>
      </c>
      <c r="AX16" s="107">
        <f>'Data entry'!$AV$3</f>
        <v>0.05</v>
      </c>
      <c r="AY16" s="43">
        <f t="shared" si="11"/>
        <v>0.3192750033976394</v>
      </c>
      <c r="AZ16" s="537">
        <f t="shared" si="12"/>
        <v>54000</v>
      </c>
      <c r="BA16">
        <f t="shared" si="13"/>
        <v>5.912500062919249E-06</v>
      </c>
    </row>
    <row r="17" spans="1:53" ht="39.75" customHeight="1">
      <c r="A17" s="281">
        <v>25</v>
      </c>
      <c r="B17" s="213" t="str">
        <f>'Data entry'!A25</f>
        <v>33d</v>
      </c>
      <c r="C17" s="214">
        <f>'Data entry'!B25</f>
        <v>23</v>
      </c>
      <c r="D17" s="161" t="s">
        <v>1116</v>
      </c>
      <c r="E17" s="161" t="str">
        <f>'Data entry'!D25</f>
        <v>Cane</v>
      </c>
      <c r="F17" s="248">
        <f>'Data entry'!E25</f>
        <v>16500</v>
      </c>
      <c r="G17" s="248">
        <f>'Data entry'!F25</f>
        <v>6500</v>
      </c>
      <c r="H17" s="248">
        <f>'Data entry'!G25</f>
        <v>10000</v>
      </c>
      <c r="I17" s="249">
        <f>'Data entry'!H25</f>
        <v>0.6060606060606061</v>
      </c>
      <c r="J17" s="254" t="str">
        <f>'Data entry'!I25</f>
        <v>Enviroscans</v>
      </c>
      <c r="K17" s="33" t="str">
        <f>'Data entry'!J25</f>
        <v>Lot number removed</v>
      </c>
      <c r="L17" s="217">
        <f>'Data entry'!K25</f>
        <v>0</v>
      </c>
      <c r="M17" s="461" t="str">
        <f>'Data entry'!T25</f>
        <v>changing effectiveness of water management, 5% improvement, 2.5 year capital </v>
      </c>
      <c r="N17" s="157">
        <f>'Data entry'!L25</f>
        <v>0</v>
      </c>
      <c r="O17" s="157">
        <f>'Data entry'!M25</f>
        <v>0</v>
      </c>
      <c r="P17" s="157">
        <f>'Data entry'!N25</f>
        <v>3</v>
      </c>
      <c r="Q17" s="157">
        <f>'Data entry'!O25</f>
        <v>5</v>
      </c>
      <c r="R17" s="157">
        <f>'Data entry'!P25</f>
        <v>0</v>
      </c>
      <c r="S17" s="93">
        <f>'current bses'!L25+'current bses'!O25</f>
        <v>9.95</v>
      </c>
      <c r="T17" s="34" t="str">
        <f>'Data entry'!I25</f>
        <v>Enviroscans</v>
      </c>
      <c r="U17" s="34">
        <f>'Data entry'!AD25</f>
        <v>2046</v>
      </c>
      <c r="V17" s="125">
        <f>'thorburn clases'!D25</f>
        <v>1</v>
      </c>
      <c r="W17" s="125">
        <f>'N movement slave'!G25</f>
        <v>91</v>
      </c>
      <c r="X17" s="125">
        <f>'N movement slave'!H25</f>
        <v>1708</v>
      </c>
      <c r="Y17" s="125">
        <f>'N movement slave'!I25</f>
        <v>28</v>
      </c>
      <c r="Z17" s="125">
        <f>'N movement slave'!J25</f>
        <v>250</v>
      </c>
      <c r="AA17" s="125">
        <f>'N movement slave'!K25</f>
        <v>0.1</v>
      </c>
      <c r="AB17" s="107">
        <f t="shared" si="2"/>
        <v>0.9626875</v>
      </c>
      <c r="AC17" s="106">
        <f>'Data entry'!X25</f>
        <v>194</v>
      </c>
      <c r="AD17" s="106">
        <f>'Data entry'!Y25</f>
        <v>285</v>
      </c>
      <c r="AE17" s="36">
        <v>0.2</v>
      </c>
      <c r="AF17" s="35">
        <f t="shared" si="3"/>
        <v>99.92483516483519</v>
      </c>
      <c r="AG17" s="35">
        <f t="shared" si="4"/>
        <v>0.35560439560439566</v>
      </c>
      <c r="AH17" s="35">
        <f t="shared" si="5"/>
        <v>700.41926489011</v>
      </c>
      <c r="AI17" s="35">
        <f t="shared" si="6"/>
        <v>116</v>
      </c>
      <c r="AJ17" s="35">
        <f t="shared" si="7"/>
        <v>0.4128113879003559</v>
      </c>
      <c r="AK17" s="35">
        <f t="shared" si="8"/>
        <v>813.0975106761566</v>
      </c>
      <c r="AL17" s="551">
        <f>'Data entry'!BE25</f>
        <v>0.025</v>
      </c>
      <c r="AM17" s="536">
        <f t="shared" si="9"/>
        <v>17.51048162225275</v>
      </c>
      <c r="AN17" s="39">
        <v>2.5</v>
      </c>
      <c r="AO17" s="40">
        <v>1</v>
      </c>
      <c r="AP17" s="38">
        <f t="shared" si="10"/>
        <v>43.77620405563188</v>
      </c>
      <c r="AQ17" s="41">
        <v>7460</v>
      </c>
      <c r="AR17" s="41">
        <v>401</v>
      </c>
      <c r="AS17" s="41">
        <f t="shared" si="0"/>
        <v>7861</v>
      </c>
      <c r="AT17" s="42">
        <f t="shared" si="1"/>
        <v>5.56878311355195E-06</v>
      </c>
      <c r="AU17" s="432">
        <f>'Verification score'!M25</f>
        <v>0.6041666666666666</v>
      </c>
      <c r="AV17" s="107">
        <f>'Data entry'!$AU$3</f>
        <v>0.1</v>
      </c>
      <c r="AW17" s="432">
        <f>'future bses'!AI25</f>
        <v>0</v>
      </c>
      <c r="AX17" s="107">
        <f>'Data entry'!$AV$3</f>
        <v>0.05</v>
      </c>
      <c r="AY17" s="43">
        <f t="shared" si="11"/>
        <v>0.0005905230426662381</v>
      </c>
      <c r="AZ17" s="537">
        <f t="shared" si="12"/>
        <v>10000</v>
      </c>
      <c r="BA17">
        <f t="shared" si="13"/>
        <v>5.9052304266623806E-08</v>
      </c>
    </row>
    <row r="18" spans="1:53" ht="39.75" customHeight="1">
      <c r="A18" s="281">
        <v>26</v>
      </c>
      <c r="B18" s="213">
        <f>'Data entry'!A26</f>
        <v>36</v>
      </c>
      <c r="C18" s="214">
        <f>'Data entry'!B26</f>
        <v>24</v>
      </c>
      <c r="D18" s="161" t="s">
        <v>1116</v>
      </c>
      <c r="E18" s="161" t="str">
        <f>'Data entry'!D26</f>
        <v>Cane</v>
      </c>
      <c r="F18" s="248">
        <f>'Data entry'!E26</f>
        <v>2700</v>
      </c>
      <c r="G18" s="248">
        <f>'Data entry'!F26</f>
        <v>0</v>
      </c>
      <c r="H18" s="248">
        <f>'Data entry'!G26</f>
        <v>2700</v>
      </c>
      <c r="I18" s="249">
        <f>'Data entry'!H26</f>
        <v>1</v>
      </c>
      <c r="J18" s="254" t="str">
        <f>'Data entry'!I26</f>
        <v>Spinning wheel rake</v>
      </c>
      <c r="K18" s="33" t="str">
        <f>'Data entry'!J26</f>
        <v>Lot number removed</v>
      </c>
      <c r="L18" s="217">
        <f>'Data entry'!K26</f>
        <v>0</v>
      </c>
      <c r="M18" s="461" t="str">
        <f>'Data entry'!T26</f>
        <v>GCTB - changing effectiveness of water management, 5% improve, 2.5 years capital</v>
      </c>
      <c r="N18" s="157">
        <f>'Data entry'!L26</f>
        <v>0</v>
      </c>
      <c r="O18" s="157">
        <f>'Data entry'!M26</f>
        <v>0</v>
      </c>
      <c r="P18" s="157">
        <f>'Data entry'!N26</f>
        <v>3</v>
      </c>
      <c r="Q18" s="157">
        <f>'Data entry'!O26</f>
        <v>5</v>
      </c>
      <c r="R18" s="157">
        <f>'Data entry'!P26</f>
        <v>1</v>
      </c>
      <c r="S18" s="93">
        <f>'current bses'!L26+'current bses'!O26</f>
        <v>8.65</v>
      </c>
      <c r="T18" s="34" t="str">
        <f>'Data entry'!I26</f>
        <v>Spinning wheel rake</v>
      </c>
      <c r="U18" s="34">
        <f>'Data entry'!AD26</f>
        <v>18.18181818181818</v>
      </c>
      <c r="V18" s="125">
        <f>'thorburn clases'!D26</f>
        <v>3</v>
      </c>
      <c r="W18" s="125">
        <f>'N movement slave'!G26</f>
        <v>174</v>
      </c>
      <c r="X18" s="125">
        <f>'N movement slave'!H26</f>
        <v>1585</v>
      </c>
      <c r="Y18" s="125">
        <f>'N movement slave'!I26</f>
        <v>78</v>
      </c>
      <c r="Z18" s="125">
        <f>'N movement slave'!J26</f>
        <v>311</v>
      </c>
      <c r="AA18" s="125">
        <f>'N movement slave'!K26</f>
        <v>2</v>
      </c>
      <c r="AB18" s="107">
        <f t="shared" si="2"/>
        <v>0.9675625</v>
      </c>
      <c r="AC18" s="106">
        <f>'Data entry'!X26</f>
        <v>161.8925</v>
      </c>
      <c r="AD18" s="106">
        <f>'Data entry'!Y26</f>
        <v>207.48</v>
      </c>
      <c r="AE18" s="36">
        <v>0.2</v>
      </c>
      <c r="AF18" s="35">
        <f t="shared" si="3"/>
        <v>110.18781609195402</v>
      </c>
      <c r="AG18" s="35">
        <f t="shared" si="4"/>
        <v>2.7546954022988506</v>
      </c>
      <c r="AH18" s="35">
        <f t="shared" si="5"/>
        <v>48.460726730668746</v>
      </c>
      <c r="AI18" s="35">
        <f t="shared" si="6"/>
        <v>92.18125</v>
      </c>
      <c r="AJ18" s="35">
        <f t="shared" si="7"/>
        <v>2.30453125</v>
      </c>
      <c r="AK18" s="35">
        <f t="shared" si="8"/>
        <v>40.54141850142045</v>
      </c>
      <c r="AL18" s="551">
        <f>'Data entry'!BE26</f>
        <v>0.015</v>
      </c>
      <c r="AM18" s="536">
        <f t="shared" si="9"/>
        <v>0.7269109009600312</v>
      </c>
      <c r="AN18" s="39">
        <v>2.5</v>
      </c>
      <c r="AO18" s="40">
        <v>1</v>
      </c>
      <c r="AP18" s="38">
        <f t="shared" si="10"/>
        <v>1.817277252400078</v>
      </c>
      <c r="AQ18" s="41">
        <v>7460</v>
      </c>
      <c r="AR18" s="41">
        <v>401</v>
      </c>
      <c r="AS18" s="41">
        <f>AQ18+AR18</f>
        <v>7861</v>
      </c>
      <c r="AT18" s="42">
        <f>AM18*AN18*AO18/1000/AS18</f>
        <v>2.311763455540107E-07</v>
      </c>
      <c r="AU18" s="432">
        <f>'Verification score'!M26</f>
        <v>0.17958333333333334</v>
      </c>
      <c r="AV18" s="107">
        <f>'Data entry'!$AU$3</f>
        <v>0.1</v>
      </c>
      <c r="AW18" s="432">
        <f>'future bses'!AI26</f>
        <v>0.014285714285714285</v>
      </c>
      <c r="AX18" s="107">
        <f>'Data entry'!$AV$3</f>
        <v>0.05</v>
      </c>
      <c r="AY18" s="43">
        <f t="shared" si="11"/>
        <v>2.354959787744131E-05</v>
      </c>
      <c r="AZ18" s="537">
        <f t="shared" si="12"/>
        <v>2700</v>
      </c>
      <c r="BA18">
        <f t="shared" si="13"/>
        <v>8.722073287941226E-09</v>
      </c>
    </row>
    <row r="19" spans="1:53" ht="39.75" customHeight="1">
      <c r="A19" s="281">
        <v>30</v>
      </c>
      <c r="B19" s="213" t="str">
        <f>'Data entry'!A30</f>
        <v>39c</v>
      </c>
      <c r="C19" s="217">
        <f>'Data entry'!B30</f>
        <v>28</v>
      </c>
      <c r="D19" s="161" t="s">
        <v>1116</v>
      </c>
      <c r="E19" s="161" t="str">
        <f>'Data entry'!D30</f>
        <v>Cane</v>
      </c>
      <c r="F19" s="248">
        <f>'Data entry'!E30</f>
        <v>7000</v>
      </c>
      <c r="G19" s="248">
        <f>'Data entry'!F30</f>
        <v>2000</v>
      </c>
      <c r="H19" s="248">
        <f>'Data entry'!G30</f>
        <v>5000</v>
      </c>
      <c r="I19" s="249">
        <f>'Data entry'!H30</f>
        <v>0.7142857142857143</v>
      </c>
      <c r="J19" s="254" t="str">
        <f>'Data entry'!I30</f>
        <v>Weather Station</v>
      </c>
      <c r="K19" s="33" t="str">
        <f>'Data entry'!J30</f>
        <v>Lot number removed</v>
      </c>
      <c r="L19" s="33" t="str">
        <f>'Data entry'!K30</f>
        <v>Brandon</v>
      </c>
      <c r="M19" s="461" t="str">
        <f>'Data entry'!T30</f>
        <v>changing effectiveness of water management, 0.25/3% improvement, 5 year capital </v>
      </c>
      <c r="N19" s="157">
        <f>'Data entry'!L30</f>
        <v>0</v>
      </c>
      <c r="O19" s="157">
        <f>'Data entry'!M30</f>
        <v>0</v>
      </c>
      <c r="P19" s="157">
        <f>'Data entry'!N30</f>
        <v>2</v>
      </c>
      <c r="Q19" s="157">
        <f>'Data entry'!O30</f>
        <v>5</v>
      </c>
      <c r="R19" s="157">
        <f>'Data entry'!P30</f>
        <v>0.5</v>
      </c>
      <c r="S19" s="93">
        <f>'current bses'!L30+'current bses'!O30</f>
        <v>30.175</v>
      </c>
      <c r="T19" s="34" t="str">
        <f>'Data entry'!I30</f>
        <v>Weather Station</v>
      </c>
      <c r="U19" s="34">
        <f>'Data entry'!AD30</f>
        <v>2500</v>
      </c>
      <c r="V19" s="125">
        <f>'thorburn clases'!D30</f>
        <v>5</v>
      </c>
      <c r="W19" s="125">
        <f>'N movement slave'!G30</f>
        <v>305</v>
      </c>
      <c r="X19" s="125">
        <f>'N movement slave'!H30</f>
        <v>437</v>
      </c>
      <c r="Y19" s="125">
        <f>'N movement slave'!I30</f>
        <v>40</v>
      </c>
      <c r="Z19" s="125">
        <f>'N movement slave'!J30</f>
        <v>1276</v>
      </c>
      <c r="AA19" s="125">
        <f>'N movement slave'!K30</f>
        <v>59</v>
      </c>
      <c r="AB19" s="107">
        <f t="shared" si="2"/>
        <v>0.88684375</v>
      </c>
      <c r="AC19" s="106">
        <f>'Data entry'!X30</f>
        <v>194</v>
      </c>
      <c r="AD19" s="106">
        <v>220</v>
      </c>
      <c r="AE19" s="36">
        <v>0.2</v>
      </c>
      <c r="AF19" s="35">
        <f t="shared" si="3"/>
        <v>83.93901639344263</v>
      </c>
      <c r="AG19" s="35">
        <f t="shared" si="4"/>
        <v>50.024262295081975</v>
      </c>
      <c r="AH19" s="35">
        <f t="shared" si="5"/>
        <v>110909.26091188527</v>
      </c>
      <c r="AI19" s="35">
        <f t="shared" si="6"/>
        <v>53.900000000000006</v>
      </c>
      <c r="AJ19" s="35">
        <f t="shared" si="7"/>
        <v>32.12222222222223</v>
      </c>
      <c r="AK19" s="35">
        <f t="shared" si="8"/>
        <v>71218.48003472223</v>
      </c>
      <c r="AL19" s="551">
        <f>'Data entry'!BE30</f>
        <v>0.000233</v>
      </c>
      <c r="AM19" s="536">
        <f t="shared" si="9"/>
        <v>25.841857792469266</v>
      </c>
      <c r="AN19" s="39">
        <v>2.5</v>
      </c>
      <c r="AO19" s="40">
        <v>1</v>
      </c>
      <c r="AP19" s="38">
        <f t="shared" si="10"/>
        <v>64.60464448117317</v>
      </c>
      <c r="AQ19" s="41">
        <v>7460</v>
      </c>
      <c r="AR19" s="41">
        <v>401</v>
      </c>
      <c r="AS19" s="41">
        <f t="shared" si="0"/>
        <v>7861</v>
      </c>
      <c r="AT19" s="42">
        <f t="shared" si="1"/>
        <v>8.2183748226909E-06</v>
      </c>
      <c r="AU19" s="432">
        <f>'Verification score'!M30</f>
        <v>0.7179166666666668</v>
      </c>
      <c r="AV19" s="107">
        <f>'Data entry'!$AU$3</f>
        <v>0.1</v>
      </c>
      <c r="AW19" s="32">
        <f>'future bses'!AI30</f>
        <v>0.003571428571428572</v>
      </c>
      <c r="AX19" s="107">
        <f>'Data entry'!$AV$3</f>
        <v>0.05</v>
      </c>
      <c r="AY19" s="43">
        <f t="shared" si="11"/>
        <v>0.0008809958574511913</v>
      </c>
      <c r="AZ19" s="537">
        <f t="shared" si="12"/>
        <v>5000</v>
      </c>
      <c r="BA19">
        <f t="shared" si="13"/>
        <v>1.7619917149023825E-07</v>
      </c>
    </row>
    <row r="20" spans="1:54" ht="39.75" customHeight="1">
      <c r="A20" s="281">
        <v>31</v>
      </c>
      <c r="B20" s="213" t="str">
        <f>'Data entry'!A31</f>
        <v>39d</v>
      </c>
      <c r="C20" s="217">
        <f>'Data entry'!B31</f>
        <v>29</v>
      </c>
      <c r="D20" s="161" t="s">
        <v>1116</v>
      </c>
      <c r="E20" s="161" t="str">
        <f>'Data entry'!D31</f>
        <v>Cane</v>
      </c>
      <c r="F20" s="248">
        <f>'Data entry'!E31</f>
        <v>150000</v>
      </c>
      <c r="G20" s="248">
        <f>'Data entry'!F31</f>
        <v>50000</v>
      </c>
      <c r="H20" s="248">
        <f>'Data entry'!G31</f>
        <v>100000</v>
      </c>
      <c r="I20" s="249">
        <f>'Data entry'!H31</f>
        <v>0.6666666666666666</v>
      </c>
      <c r="J20" s="254" t="str">
        <f>'Data entry'!I31</f>
        <v>Trickle irrigation</v>
      </c>
      <c r="K20" s="33" t="str">
        <f>'Data entry'!J31</f>
        <v>Lot number removed</v>
      </c>
      <c r="L20" s="33" t="str">
        <f>'Data entry'!K31</f>
        <v>Brandon</v>
      </c>
      <c r="M20" s="461" t="str">
        <f>'Data entry'!T31</f>
        <v>changing effectiveness of water management, 80% improvement unless fertigation, 5 year capital ??</v>
      </c>
      <c r="N20" s="157">
        <f>'Data entry'!L31</f>
        <v>0</v>
      </c>
      <c r="O20" s="157">
        <f>'Data entry'!M31</f>
        <v>0</v>
      </c>
      <c r="P20" s="157">
        <f>'Data entry'!N31</f>
        <v>2</v>
      </c>
      <c r="Q20" s="157">
        <f>'Data entry'!O31</f>
        <v>7</v>
      </c>
      <c r="R20" s="157">
        <f>'Data entry'!P31</f>
        <v>1</v>
      </c>
      <c r="S20" s="93">
        <f>'current bses'!L31+'current bses'!O31</f>
        <v>30.475</v>
      </c>
      <c r="T20" s="34" t="str">
        <f>'Data entry'!I31</f>
        <v>Trickle irrigation</v>
      </c>
      <c r="U20" s="34">
        <f>'Data entry'!AD31</f>
        <v>10</v>
      </c>
      <c r="V20" s="125">
        <f>'thorburn clases'!D31</f>
        <v>5</v>
      </c>
      <c r="W20" s="125">
        <f>'N movement slave'!G31</f>
        <v>305</v>
      </c>
      <c r="X20" s="125">
        <f>'N movement slave'!H31</f>
        <v>437</v>
      </c>
      <c r="Y20" s="125">
        <f>'N movement slave'!I31</f>
        <v>40</v>
      </c>
      <c r="Z20" s="125">
        <f>'N movement slave'!J31</f>
        <v>1276</v>
      </c>
      <c r="AA20" s="125">
        <f>'N movement slave'!K31</f>
        <v>59</v>
      </c>
      <c r="AB20" s="107">
        <f t="shared" si="2"/>
        <v>0.88571875</v>
      </c>
      <c r="AC20" s="106">
        <f>'Data entry'!X31</f>
        <v>194</v>
      </c>
      <c r="AD20" s="106">
        <v>220</v>
      </c>
      <c r="AE20" s="36">
        <v>0.2</v>
      </c>
      <c r="AF20" s="35">
        <f t="shared" si="3"/>
        <v>83.93901639344263</v>
      </c>
      <c r="AG20" s="35">
        <f t="shared" si="4"/>
        <v>50.024262295081975</v>
      </c>
      <c r="AH20" s="35">
        <f t="shared" si="5"/>
        <v>443.0742706967214</v>
      </c>
      <c r="AI20" s="35">
        <f t="shared" si="6"/>
        <v>53.900000000000006</v>
      </c>
      <c r="AJ20" s="35">
        <f t="shared" si="7"/>
        <v>32.12222222222223</v>
      </c>
      <c r="AK20" s="35">
        <f t="shared" si="8"/>
        <v>284.5125451388889</v>
      </c>
      <c r="AL20" s="551">
        <f>'Data entry'!BE31</f>
        <v>0.5</v>
      </c>
      <c r="AM20" s="536">
        <f t="shared" si="9"/>
        <v>221.5371353483607</v>
      </c>
      <c r="AN20" s="39">
        <v>5</v>
      </c>
      <c r="AO20" s="586">
        <v>1.2</v>
      </c>
      <c r="AP20" s="38">
        <f t="shared" si="10"/>
        <v>1329.222812090164</v>
      </c>
      <c r="AQ20" s="41">
        <v>7460</v>
      </c>
      <c r="AR20" s="41">
        <v>401</v>
      </c>
      <c r="AS20" s="41">
        <f t="shared" si="0"/>
        <v>7861</v>
      </c>
      <c r="AT20" s="42">
        <f t="shared" si="1"/>
        <v>0.00016909080423485105</v>
      </c>
      <c r="AU20" s="432">
        <f>'Verification score'!M31</f>
        <v>0.44125000000000003</v>
      </c>
      <c r="AV20" s="107">
        <f>'Data entry'!$AU$3</f>
        <v>0.1</v>
      </c>
      <c r="AW20" s="32">
        <f>'future bses'!AI31</f>
        <v>0.007142857142857143</v>
      </c>
      <c r="AX20" s="107">
        <f>'Data entry'!$AV$3</f>
        <v>0.05</v>
      </c>
      <c r="AY20" s="43">
        <f t="shared" si="11"/>
        <v>0.01766149902345609</v>
      </c>
      <c r="AZ20" s="588">
        <f t="shared" si="12"/>
        <v>100000</v>
      </c>
      <c r="BA20" s="199">
        <f t="shared" si="13"/>
        <v>1.7661499023456088E-07</v>
      </c>
      <c r="BB20" t="s">
        <v>1079</v>
      </c>
    </row>
    <row r="21" spans="1:53" ht="39.75" customHeight="1">
      <c r="A21" s="281">
        <v>32</v>
      </c>
      <c r="B21" s="213" t="str">
        <f>'Data entry'!A32</f>
        <v>39e</v>
      </c>
      <c r="C21" s="217">
        <f>'Data entry'!B32</f>
        <v>30</v>
      </c>
      <c r="D21" s="161" t="s">
        <v>1116</v>
      </c>
      <c r="E21" s="161" t="str">
        <f>'Data entry'!D32</f>
        <v>Cane</v>
      </c>
      <c r="F21" s="248">
        <f>'Data entry'!E32</f>
        <v>3500</v>
      </c>
      <c r="G21" s="248">
        <f>'Data entry'!F32</f>
        <v>0</v>
      </c>
      <c r="H21" s="248">
        <f>'Data entry'!G32</f>
        <v>3500</v>
      </c>
      <c r="I21" s="249">
        <f>'Data entry'!H32</f>
        <v>1</v>
      </c>
      <c r="J21" s="254" t="str">
        <f>'Data entry'!I32</f>
        <v>GIS program add-on</v>
      </c>
      <c r="K21" s="33" t="str">
        <f>'Data entry'!J32</f>
        <v>Lot number removed</v>
      </c>
      <c r="L21" s="33" t="str">
        <f>'Data entry'!K32</f>
        <v>Brandon</v>
      </c>
      <c r="M21" s="461" t="str">
        <f>'Data entry'!T32</f>
        <v>changing effectiveness of water management, 0.25/3% improvement, 2.5 year capital </v>
      </c>
      <c r="N21" s="157">
        <f>'Data entry'!L32</f>
        <v>0</v>
      </c>
      <c r="O21" s="157">
        <f>'Data entry'!M32</f>
        <v>0</v>
      </c>
      <c r="P21" s="157">
        <f>'Data entry'!N32</f>
        <v>2</v>
      </c>
      <c r="Q21" s="157">
        <f>'Data entry'!O32</f>
        <v>5</v>
      </c>
      <c r="R21" s="157">
        <f>'Data entry'!P32</f>
        <v>0.5</v>
      </c>
      <c r="S21" s="93">
        <f>'current bses'!L32+'current bses'!O32</f>
        <v>30.475</v>
      </c>
      <c r="T21" s="34" t="str">
        <f>'Data entry'!I32</f>
        <v>GIS program add-on</v>
      </c>
      <c r="U21" s="34">
        <f>'Data entry'!AD32</f>
        <v>2500</v>
      </c>
      <c r="V21" s="125">
        <f>'thorburn clases'!D32</f>
        <v>5</v>
      </c>
      <c r="W21" s="125">
        <f>'N movement slave'!G32</f>
        <v>305</v>
      </c>
      <c r="X21" s="125">
        <f>'N movement slave'!H32</f>
        <v>437</v>
      </c>
      <c r="Y21" s="125">
        <f>'N movement slave'!I32</f>
        <v>40</v>
      </c>
      <c r="Z21" s="125">
        <f>'N movement slave'!J32</f>
        <v>1276</v>
      </c>
      <c r="AA21" s="125">
        <f>'N movement slave'!K32</f>
        <v>59</v>
      </c>
      <c r="AB21" s="107">
        <f t="shared" si="2"/>
        <v>0.88571875</v>
      </c>
      <c r="AC21" s="106">
        <f>'Data entry'!X32</f>
        <v>194</v>
      </c>
      <c r="AD21" s="106">
        <v>220</v>
      </c>
      <c r="AE21" s="36">
        <v>0.2</v>
      </c>
      <c r="AF21" s="35">
        <f t="shared" si="3"/>
        <v>83.93901639344263</v>
      </c>
      <c r="AG21" s="35">
        <f t="shared" si="4"/>
        <v>50.024262295081975</v>
      </c>
      <c r="AH21" s="35">
        <f t="shared" si="5"/>
        <v>110768.56767418035</v>
      </c>
      <c r="AI21" s="35">
        <f t="shared" si="6"/>
        <v>53.900000000000006</v>
      </c>
      <c r="AJ21" s="35">
        <f t="shared" si="7"/>
        <v>32.12222222222223</v>
      </c>
      <c r="AK21" s="35">
        <f t="shared" si="8"/>
        <v>71128.13628472223</v>
      </c>
      <c r="AL21" s="551">
        <f>'Data entry'!BE32</f>
        <v>0.0004</v>
      </c>
      <c r="AM21" s="536">
        <f t="shared" si="9"/>
        <v>44.307427069672144</v>
      </c>
      <c r="AN21" s="39">
        <v>2.5</v>
      </c>
      <c r="AO21" s="40">
        <v>1</v>
      </c>
      <c r="AP21" s="38">
        <f t="shared" si="10"/>
        <v>110.76856767418036</v>
      </c>
      <c r="AQ21" s="41">
        <v>7460</v>
      </c>
      <c r="AR21" s="41">
        <v>401</v>
      </c>
      <c r="AS21" s="41">
        <f t="shared" si="0"/>
        <v>7861</v>
      </c>
      <c r="AT21" s="42">
        <f t="shared" si="1"/>
        <v>1.4090900352904257E-05</v>
      </c>
      <c r="AU21" s="432">
        <f>'Verification score'!M32</f>
        <v>0.41791666666666666</v>
      </c>
      <c r="AV21" s="107">
        <f>'Data entry'!$AU$3</f>
        <v>0.1</v>
      </c>
      <c r="AW21" s="32">
        <f>'future bses'!AI32</f>
        <v>0.1357142857142857</v>
      </c>
      <c r="AX21" s="107">
        <f>'Data entry'!$AV$3</f>
        <v>0.05</v>
      </c>
      <c r="AY21" s="43">
        <f t="shared" si="11"/>
        <v>0.0014779395373738277</v>
      </c>
      <c r="AZ21" s="537">
        <f t="shared" si="12"/>
        <v>3500</v>
      </c>
      <c r="BA21">
        <f t="shared" si="13"/>
        <v>4.2226843924966506E-07</v>
      </c>
    </row>
    <row r="22" spans="1:53" ht="39.75" customHeight="1">
      <c r="A22" s="281">
        <v>33</v>
      </c>
      <c r="B22" s="213" t="str">
        <f>'Data entry'!A33</f>
        <v>39f</v>
      </c>
      <c r="C22" s="217">
        <f>'Data entry'!B33</f>
        <v>31</v>
      </c>
      <c r="D22" s="161" t="s">
        <v>1116</v>
      </c>
      <c r="E22" s="161" t="str">
        <f>'Data entry'!D33</f>
        <v>Cane</v>
      </c>
      <c r="F22" s="248">
        <f>'Data entry'!E33</f>
        <v>5500</v>
      </c>
      <c r="G22" s="248">
        <f>'Data entry'!F33</f>
        <v>0</v>
      </c>
      <c r="H22" s="248">
        <f>'Data entry'!G33</f>
        <v>5500</v>
      </c>
      <c r="I22" s="249">
        <f>'Data entry'!H33</f>
        <v>1</v>
      </c>
      <c r="J22" s="254" t="str">
        <f>'Data entry'!I33</f>
        <v>Satellite imagery</v>
      </c>
      <c r="K22" s="33" t="str">
        <f>'Data entry'!J33</f>
        <v>Lot number removed</v>
      </c>
      <c r="L22" s="33" t="str">
        <f>'Data entry'!K33</f>
        <v>Brandon</v>
      </c>
      <c r="M22" s="461" t="str">
        <f>'Data entry'!T33</f>
        <v>changing effectiveness of water management, 0.25/3% improvement, 2.5 year capital </v>
      </c>
      <c r="N22" s="157">
        <f>'Data entry'!L33</f>
        <v>0</v>
      </c>
      <c r="O22" s="157">
        <f>'Data entry'!M33</f>
        <v>0</v>
      </c>
      <c r="P22" s="157">
        <f>'Data entry'!N33</f>
        <v>2</v>
      </c>
      <c r="Q22" s="157">
        <f>'Data entry'!O33</f>
        <v>5</v>
      </c>
      <c r="R22" s="157">
        <f>'Data entry'!P33</f>
        <v>0.5</v>
      </c>
      <c r="S22" s="93">
        <f>'current bses'!L33+'current bses'!O33</f>
        <v>30.475</v>
      </c>
      <c r="T22" s="34" t="str">
        <f>'Data entry'!I33</f>
        <v>Satellite imagery</v>
      </c>
      <c r="U22" s="34">
        <f>'Data entry'!AD33</f>
        <v>2500</v>
      </c>
      <c r="V22" s="125">
        <f>'thorburn clases'!D33</f>
        <v>5</v>
      </c>
      <c r="W22" s="125">
        <f>'N movement slave'!G33</f>
        <v>305</v>
      </c>
      <c r="X22" s="125">
        <f>'N movement slave'!H33</f>
        <v>437</v>
      </c>
      <c r="Y22" s="125">
        <f>'N movement slave'!I33</f>
        <v>40</v>
      </c>
      <c r="Z22" s="125">
        <f>'N movement slave'!J33</f>
        <v>1276</v>
      </c>
      <c r="AA22" s="125">
        <f>'N movement slave'!K33</f>
        <v>59</v>
      </c>
      <c r="AB22" s="107">
        <f t="shared" si="2"/>
        <v>0.88571875</v>
      </c>
      <c r="AC22" s="106">
        <f>'Data entry'!X33</f>
        <v>194</v>
      </c>
      <c r="AD22" s="106">
        <v>220</v>
      </c>
      <c r="AE22" s="36">
        <v>0.2</v>
      </c>
      <c r="AF22" s="35">
        <f t="shared" si="3"/>
        <v>83.93901639344263</v>
      </c>
      <c r="AG22" s="35">
        <f t="shared" si="4"/>
        <v>50.024262295081975</v>
      </c>
      <c r="AH22" s="35">
        <f t="shared" si="5"/>
        <v>110768.56767418035</v>
      </c>
      <c r="AI22" s="35">
        <f t="shared" si="6"/>
        <v>53.900000000000006</v>
      </c>
      <c r="AJ22" s="35">
        <f t="shared" si="7"/>
        <v>32.12222222222223</v>
      </c>
      <c r="AK22" s="35">
        <f t="shared" si="8"/>
        <v>71128.13628472223</v>
      </c>
      <c r="AL22" s="551">
        <f>'Data entry'!BE33</f>
        <v>0.0004</v>
      </c>
      <c r="AM22" s="536">
        <f t="shared" si="9"/>
        <v>44.307427069672144</v>
      </c>
      <c r="AN22" s="39">
        <v>2.5</v>
      </c>
      <c r="AO22" s="40">
        <v>1</v>
      </c>
      <c r="AP22" s="38">
        <f t="shared" si="10"/>
        <v>110.76856767418036</v>
      </c>
      <c r="AQ22" s="41">
        <v>7460</v>
      </c>
      <c r="AR22" s="41">
        <v>401</v>
      </c>
      <c r="AS22" s="41">
        <f t="shared" si="0"/>
        <v>7861</v>
      </c>
      <c r="AT22" s="42">
        <f t="shared" si="1"/>
        <v>1.4090900352904257E-05</v>
      </c>
      <c r="AU22" s="432">
        <f>'Verification score'!M33</f>
        <v>0.6554166666666668</v>
      </c>
      <c r="AV22" s="107">
        <f>'Data entry'!$AU$3</f>
        <v>0.1</v>
      </c>
      <c r="AW22" s="32">
        <f>'future bses'!AI33</f>
        <v>0.1357142857142857</v>
      </c>
      <c r="AX22" s="107">
        <f>'Data entry'!$AV$3</f>
        <v>0.05</v>
      </c>
      <c r="AY22" s="43">
        <f t="shared" si="11"/>
        <v>0.0015116325156685553</v>
      </c>
      <c r="AZ22" s="537">
        <f t="shared" si="12"/>
        <v>5500</v>
      </c>
      <c r="BA22">
        <f t="shared" si="13"/>
        <v>2.74842275576101E-07</v>
      </c>
    </row>
    <row r="23" spans="1:54" ht="39.75" customHeight="1">
      <c r="A23" s="281">
        <v>45</v>
      </c>
      <c r="B23" s="213" t="str">
        <f>'Data entry'!A45</f>
        <v>52a</v>
      </c>
      <c r="C23" s="115">
        <f>'Data entry'!B45</f>
        <v>43</v>
      </c>
      <c r="D23" s="161" t="s">
        <v>1116</v>
      </c>
      <c r="E23" s="161" t="str">
        <f>'Data entry'!D45</f>
        <v>Cane</v>
      </c>
      <c r="F23" s="248">
        <f>'Data entry'!E45</f>
        <v>160000</v>
      </c>
      <c r="G23" s="248">
        <f>'Data entry'!F45</f>
        <v>30000</v>
      </c>
      <c r="H23" s="248">
        <f>'Data entry'!G45</f>
        <v>130000</v>
      </c>
      <c r="I23" s="249">
        <f>'Data entry'!H45</f>
        <v>0.8125</v>
      </c>
      <c r="J23" s="254" t="str">
        <f>'Data entry'!I45</f>
        <v>Centre Pivot</v>
      </c>
      <c r="K23" s="161" t="str">
        <f>'Data entry'!J45</f>
        <v>Lot number removed</v>
      </c>
      <c r="L23" s="217">
        <f>'Data entry'!K45</f>
        <v>0</v>
      </c>
      <c r="M23" s="461" t="str">
        <f>'Data entry'!T45</f>
        <v>changing effectiveness of water management, 5% improvement, 5 year capital </v>
      </c>
      <c r="N23" s="157">
        <f>'Data entry'!L45</f>
        <v>0</v>
      </c>
      <c r="O23" s="157">
        <f>'Data entry'!M45</f>
        <v>0</v>
      </c>
      <c r="P23" s="157">
        <f>'Data entry'!N45</f>
        <v>3</v>
      </c>
      <c r="Q23" s="157">
        <f>'Data entry'!O45</f>
        <v>5</v>
      </c>
      <c r="R23" s="157">
        <f>'Data entry'!P45</f>
        <v>0</v>
      </c>
      <c r="S23" s="93">
        <f>'current bses'!L45+'current bses'!O45</f>
        <v>10.424999999999999</v>
      </c>
      <c r="T23" s="34" t="str">
        <f>'Data entry'!I45</f>
        <v>Centre Pivot</v>
      </c>
      <c r="U23" s="34">
        <f>'Data entry'!AD45</f>
        <v>227</v>
      </c>
      <c r="V23" s="125">
        <f>'thorburn clases'!D45</f>
        <v>4</v>
      </c>
      <c r="W23" s="125">
        <f>'N movement slave'!G45</f>
        <v>202</v>
      </c>
      <c r="X23" s="125">
        <f>'N movement slave'!H45</f>
        <v>1510</v>
      </c>
      <c r="Y23" s="125">
        <f>'N movement slave'!I45</f>
        <v>87</v>
      </c>
      <c r="Z23" s="125">
        <f>'N movement slave'!J45</f>
        <v>358</v>
      </c>
      <c r="AA23" s="125">
        <f>'N movement slave'!K45</f>
        <v>3</v>
      </c>
      <c r="AB23" s="107">
        <f t="shared" si="2"/>
        <v>0.96090625</v>
      </c>
      <c r="AC23" s="106">
        <f>'Data entry'!X45</f>
        <v>220</v>
      </c>
      <c r="AD23" s="106">
        <v>220</v>
      </c>
      <c r="AE23" s="36">
        <v>0.2</v>
      </c>
      <c r="AF23" s="35">
        <f t="shared" si="3"/>
        <v>117.53465346534654</v>
      </c>
      <c r="AG23" s="35">
        <f t="shared" si="4"/>
        <v>3.9178217821782177</v>
      </c>
      <c r="AH23" s="35">
        <f t="shared" si="5"/>
        <v>854.5776921720296</v>
      </c>
      <c r="AI23" s="35">
        <f t="shared" si="6"/>
        <v>99</v>
      </c>
      <c r="AJ23" s="35">
        <f t="shared" si="7"/>
        <v>3.3</v>
      </c>
      <c r="AK23" s="35">
        <f t="shared" si="8"/>
        <v>719.8148718749999</v>
      </c>
      <c r="AL23" s="551">
        <f>'Data entry'!BE45</f>
        <v>0.5</v>
      </c>
      <c r="AM23" s="536">
        <f t="shared" si="9"/>
        <v>427.2888460860148</v>
      </c>
      <c r="AN23" s="39">
        <v>5</v>
      </c>
      <c r="AO23" s="586">
        <v>1.2</v>
      </c>
      <c r="AP23" s="38">
        <f t="shared" si="10"/>
        <v>2563.733076516089</v>
      </c>
      <c r="AQ23" s="41">
        <v>7460</v>
      </c>
      <c r="AR23" s="41">
        <v>401</v>
      </c>
      <c r="AS23" s="41">
        <f t="shared" si="0"/>
        <v>7861</v>
      </c>
      <c r="AT23" s="42">
        <f t="shared" si="1"/>
        <v>0.00032613319889531725</v>
      </c>
      <c r="AU23" s="432">
        <f>'Verification score'!M45</f>
        <v>0.6775</v>
      </c>
      <c r="AV23" s="107">
        <f>'Data entry'!$AU$3</f>
        <v>0.1</v>
      </c>
      <c r="AW23" s="432">
        <f>'future bses'!AI45</f>
        <v>0</v>
      </c>
      <c r="AX23" s="107">
        <f>'Data entry'!$AV$3</f>
        <v>0.05</v>
      </c>
      <c r="AY23" s="43">
        <f t="shared" si="11"/>
        <v>0.0348228723120475</v>
      </c>
      <c r="AZ23" s="588">
        <f t="shared" si="12"/>
        <v>130000</v>
      </c>
      <c r="BA23" s="199">
        <f t="shared" si="13"/>
        <v>2.678682485542115E-07</v>
      </c>
      <c r="BB23" t="s">
        <v>1080</v>
      </c>
    </row>
    <row r="24" spans="1:53" ht="39.75" customHeight="1">
      <c r="A24" s="281">
        <v>47</v>
      </c>
      <c r="B24" s="213">
        <f>'Data entry'!A47</f>
        <v>53</v>
      </c>
      <c r="C24" s="115">
        <f>'Data entry'!B47</f>
        <v>45</v>
      </c>
      <c r="D24" s="161" t="s">
        <v>1116</v>
      </c>
      <c r="E24" s="161" t="str">
        <f>'Data entry'!D47</f>
        <v>Cane</v>
      </c>
      <c r="F24" s="248">
        <f>'Data entry'!E47</f>
        <v>47000</v>
      </c>
      <c r="G24" s="248">
        <f>'Data entry'!F47</f>
        <v>10000</v>
      </c>
      <c r="H24" s="248">
        <f>'Data entry'!G47</f>
        <v>37000</v>
      </c>
      <c r="I24" s="249">
        <f>'Data entry'!H47</f>
        <v>0.7872340425531915</v>
      </c>
      <c r="J24" s="254" t="str">
        <f>'Data entry'!I47</f>
        <v>irrigation and pipe work</v>
      </c>
      <c r="K24" s="217" t="str">
        <f>'Data entry'!J47</f>
        <v>No lot number supplied</v>
      </c>
      <c r="L24" s="217">
        <f>'Data entry'!K47</f>
        <v>0</v>
      </c>
      <c r="M24" s="461" t="str">
        <f>'Data entry'!T47</f>
        <v>changing effectiveness of water management, 5% improvement, 5 year capital </v>
      </c>
      <c r="N24" s="157">
        <f>'Data entry'!L47</f>
        <v>0</v>
      </c>
      <c r="O24" s="157">
        <f>'Data entry'!M47</f>
        <v>0</v>
      </c>
      <c r="P24" s="157">
        <f>'Data entry'!N47</f>
        <v>3</v>
      </c>
      <c r="Q24" s="157">
        <f>'Data entry'!O47</f>
        <v>5</v>
      </c>
      <c r="R24" s="157">
        <f>'Data entry'!P47</f>
        <v>0</v>
      </c>
      <c r="S24" s="93">
        <f>'current bses'!L47+'current bses'!O47</f>
        <v>9.45</v>
      </c>
      <c r="T24" s="34" t="str">
        <f>'Data entry'!I47</f>
        <v>irrigation and pipe work</v>
      </c>
      <c r="U24" s="34">
        <f>'Data entry'!AD47</f>
        <v>49</v>
      </c>
      <c r="V24" s="125">
        <f>'thorburn clases'!D47</f>
        <v>2</v>
      </c>
      <c r="W24" s="125">
        <f>'N movement slave'!G47</f>
        <v>136</v>
      </c>
      <c r="X24" s="125">
        <f>'N movement slave'!H47</f>
        <v>1605</v>
      </c>
      <c r="Y24" s="125">
        <f>'N movement slave'!I47</f>
        <v>47</v>
      </c>
      <c r="Z24" s="125">
        <f>'N movement slave'!J47</f>
        <v>310</v>
      </c>
      <c r="AA24" s="125">
        <f>'N movement slave'!K47</f>
        <v>2</v>
      </c>
      <c r="AB24" s="107">
        <f t="shared" si="2"/>
        <v>0.9645625</v>
      </c>
      <c r="AC24" s="106">
        <f>'Data entry'!X47</f>
        <v>202.1525</v>
      </c>
      <c r="AD24" s="106">
        <v>220</v>
      </c>
      <c r="AE24" s="36">
        <v>0.2</v>
      </c>
      <c r="AF24" s="35">
        <f t="shared" si="3"/>
        <v>93.75951838235294</v>
      </c>
      <c r="AG24" s="35">
        <f t="shared" si="4"/>
        <v>3.8269191176470585</v>
      </c>
      <c r="AH24" s="35">
        <f t="shared" si="5"/>
        <v>180.87383089935662</v>
      </c>
      <c r="AI24" s="35">
        <f t="shared" si="6"/>
        <v>89.21525</v>
      </c>
      <c r="AJ24" s="35">
        <f t="shared" si="7"/>
        <v>3.641438775510204</v>
      </c>
      <c r="AK24" s="35">
        <f t="shared" si="8"/>
        <v>172.10736915625</v>
      </c>
      <c r="AL24" s="551">
        <f>'Data entry'!BE47</f>
        <v>0.05</v>
      </c>
      <c r="AM24" s="536">
        <f t="shared" si="9"/>
        <v>9.043691544967832</v>
      </c>
      <c r="AN24" s="39">
        <v>5</v>
      </c>
      <c r="AO24" s="40">
        <v>1</v>
      </c>
      <c r="AP24" s="38">
        <f t="shared" si="10"/>
        <v>45.218457724839155</v>
      </c>
      <c r="AQ24" s="41">
        <v>7460</v>
      </c>
      <c r="AR24" s="41">
        <v>401</v>
      </c>
      <c r="AS24" s="41">
        <f t="shared" si="0"/>
        <v>7861</v>
      </c>
      <c r="AT24" s="42">
        <f t="shared" si="1"/>
        <v>5.752252604609994E-06</v>
      </c>
      <c r="AU24" s="432">
        <f>'Verification score'!M47</f>
        <v>0.21041666666666667</v>
      </c>
      <c r="AV24" s="107">
        <f>'Data entry'!$AU$3</f>
        <v>0.1</v>
      </c>
      <c r="AW24" s="432">
        <f>'future bses'!AI47</f>
        <v>0.0035714285714285704</v>
      </c>
      <c r="AX24" s="107">
        <f>'Data entry'!$AV$3</f>
        <v>0.05</v>
      </c>
      <c r="AY24" s="43">
        <f t="shared" si="11"/>
        <v>0.0005874338388210537</v>
      </c>
      <c r="AZ24" s="537">
        <f t="shared" si="12"/>
        <v>37000</v>
      </c>
      <c r="BA24">
        <f t="shared" si="13"/>
        <v>1.5876590238406855E-08</v>
      </c>
    </row>
    <row r="25" spans="1:54" ht="39.75" customHeight="1">
      <c r="A25" s="281">
        <v>51</v>
      </c>
      <c r="B25" s="213" t="str">
        <f>'Data entry'!A51</f>
        <v>62a</v>
      </c>
      <c r="C25" s="214">
        <f>'Data entry'!B51</f>
        <v>49</v>
      </c>
      <c r="D25" s="161" t="s">
        <v>1116</v>
      </c>
      <c r="E25" s="214" t="str">
        <f>'Data entry'!D51</f>
        <v>Cane</v>
      </c>
      <c r="F25" s="248">
        <f>'Data entry'!E51</f>
        <v>200000</v>
      </c>
      <c r="G25" s="248">
        <f>'Data entry'!F51</f>
        <v>100000</v>
      </c>
      <c r="H25" s="248">
        <f>'Data entry'!G51</f>
        <v>100000</v>
      </c>
      <c r="I25" s="249">
        <f>'Data entry'!H51</f>
        <v>0.5</v>
      </c>
      <c r="J25" s="255" t="str">
        <f>'Data entry'!I51</f>
        <v>Drip Irrigation</v>
      </c>
      <c r="K25" s="217" t="str">
        <f>'Data entry'!J51</f>
        <v>Lot number removed</v>
      </c>
      <c r="L25" s="217">
        <f>'Data entry'!K51</f>
        <v>0</v>
      </c>
      <c r="M25" s="461" t="str">
        <f>'Data entry'!T51</f>
        <v>changing effectiveness of water management, 80% improvement unless fertigation, 5 year capital ?? No mention fertigation</v>
      </c>
      <c r="N25" s="157">
        <f>'Data entry'!L51</f>
        <v>0</v>
      </c>
      <c r="O25" s="157">
        <f>'Data entry'!M51</f>
        <v>0</v>
      </c>
      <c r="P25" s="157">
        <f>'Data entry'!N51</f>
        <v>3</v>
      </c>
      <c r="Q25" s="157">
        <f>'Data entry'!O51</f>
        <v>7</v>
      </c>
      <c r="R25" s="157">
        <f>'Data entry'!P51</f>
        <v>1</v>
      </c>
      <c r="S25" s="93">
        <f>'current bses'!L51+'current bses'!O51</f>
        <v>20.375</v>
      </c>
      <c r="T25" s="34" t="str">
        <f>'Data entry'!I51</f>
        <v>Drip Irrigation</v>
      </c>
      <c r="U25" s="34">
        <f>'Data entry'!AD51</f>
        <v>55</v>
      </c>
      <c r="V25" s="125">
        <f>'thorburn clases'!D51</f>
        <v>5</v>
      </c>
      <c r="W25" s="125">
        <f>'N movement slave'!G51</f>
        <v>305</v>
      </c>
      <c r="X25" s="125">
        <f>'N movement slave'!H51</f>
        <v>1528</v>
      </c>
      <c r="Y25" s="125">
        <f>'N movement slave'!I51</f>
        <v>177</v>
      </c>
      <c r="Z25" s="125">
        <f>'N movement slave'!J51</f>
        <v>379</v>
      </c>
      <c r="AA25" s="125">
        <f>'N movement slave'!K51</f>
        <v>9</v>
      </c>
      <c r="AB25" s="107">
        <f t="shared" si="2"/>
        <v>0.92359375</v>
      </c>
      <c r="AC25" s="106">
        <f>'Data entry'!X51</f>
        <v>183.82125</v>
      </c>
      <c r="AD25" s="106">
        <v>220</v>
      </c>
      <c r="AE25" s="36">
        <v>0.2</v>
      </c>
      <c r="AF25" s="35">
        <f t="shared" si="3"/>
        <v>156.46213278688526</v>
      </c>
      <c r="AG25" s="35">
        <f t="shared" si="4"/>
        <v>7.570748360655739</v>
      </c>
      <c r="AH25" s="35">
        <f t="shared" si="5"/>
        <v>384.57627277984125</v>
      </c>
      <c r="AI25" s="35">
        <f t="shared" si="6"/>
        <v>139.882125</v>
      </c>
      <c r="AJ25" s="35">
        <f t="shared" si="7"/>
        <v>6.768489919354839</v>
      </c>
      <c r="AK25" s="35">
        <f t="shared" si="8"/>
        <v>343.82342425497734</v>
      </c>
      <c r="AL25" s="551">
        <f>'Data entry'!BE51</f>
        <v>0.5</v>
      </c>
      <c r="AM25" s="536">
        <f t="shared" si="9"/>
        <v>192.28813638992062</v>
      </c>
      <c r="AN25" s="39">
        <v>5</v>
      </c>
      <c r="AO25" s="586">
        <v>1.1</v>
      </c>
      <c r="AP25" s="38">
        <f t="shared" si="10"/>
        <v>1057.5847501445635</v>
      </c>
      <c r="AQ25" s="41">
        <v>7460</v>
      </c>
      <c r="AR25" s="41">
        <v>401</v>
      </c>
      <c r="AS25" s="41">
        <f t="shared" si="0"/>
        <v>7861</v>
      </c>
      <c r="AT25" s="42">
        <f t="shared" si="1"/>
        <v>0.00013453565069896495</v>
      </c>
      <c r="AU25" s="432">
        <f>'Verification score'!M51</f>
        <v>0.49583333333333335</v>
      </c>
      <c r="AV25" s="107">
        <f>'Data entry'!$AU$3</f>
        <v>0.1</v>
      </c>
      <c r="AW25" s="432">
        <f>'future bses'!AI51</f>
        <v>0.009642857142857153</v>
      </c>
      <c r="AX25" s="107">
        <f>'Data entry'!$AV$3</f>
        <v>0.05</v>
      </c>
      <c r="AY25" s="43">
        <f t="shared" si="11"/>
        <v>0.014127445835870372</v>
      </c>
      <c r="AZ25" s="588">
        <f t="shared" si="12"/>
        <v>100000</v>
      </c>
      <c r="BA25" s="199">
        <f t="shared" si="13"/>
        <v>1.4127445835870373E-07</v>
      </c>
      <c r="BB25" t="s">
        <v>1081</v>
      </c>
    </row>
    <row r="26" spans="1:54" ht="39.75" customHeight="1">
      <c r="A26" s="281">
        <v>52</v>
      </c>
      <c r="B26" s="213" t="str">
        <f>'Data entry'!A52</f>
        <v>62b</v>
      </c>
      <c r="C26" s="214">
        <f>'Data entry'!B52</f>
        <v>50</v>
      </c>
      <c r="D26" s="161" t="s">
        <v>1116</v>
      </c>
      <c r="E26" s="214" t="str">
        <f>'Data entry'!D52</f>
        <v>Cane</v>
      </c>
      <c r="F26" s="248">
        <f>'Data entry'!E52</f>
        <v>70000</v>
      </c>
      <c r="G26" s="248">
        <f>'Data entry'!F52</f>
        <v>35000</v>
      </c>
      <c r="H26" s="248">
        <f>'Data entry'!G52</f>
        <v>35000</v>
      </c>
      <c r="I26" s="249">
        <f>'Data entry'!H52</f>
        <v>0.5</v>
      </c>
      <c r="J26" s="255" t="str">
        <f>'Data entry'!I52</f>
        <v>Drip Irrigation</v>
      </c>
      <c r="K26" s="217" t="str">
        <f>'Data entry'!J52</f>
        <v>Lot number removed</v>
      </c>
      <c r="L26" s="217">
        <f>'Data entry'!K52</f>
        <v>0</v>
      </c>
      <c r="M26" s="461" t="str">
        <f>'Data entry'!T52</f>
        <v>changing effectiveness of water management, 80% improvement unless fertigation, 5 year capital ?? No mention fertigation</v>
      </c>
      <c r="N26" s="157">
        <f>'Data entry'!L52</f>
        <v>0</v>
      </c>
      <c r="O26" s="157">
        <f>'Data entry'!M52</f>
        <v>0</v>
      </c>
      <c r="P26" s="157">
        <f>'Data entry'!N52</f>
        <v>3</v>
      </c>
      <c r="Q26" s="157">
        <f>'Data entry'!O52</f>
        <v>7</v>
      </c>
      <c r="R26" s="157">
        <f>'Data entry'!P52</f>
        <v>1</v>
      </c>
      <c r="S26" s="93">
        <f>'current bses'!L52+'current bses'!O52</f>
        <v>20.375</v>
      </c>
      <c r="T26" s="34" t="str">
        <f>'Data entry'!I52</f>
        <v>Drip Irrigation</v>
      </c>
      <c r="U26" s="34">
        <f>'Data entry'!AD52</f>
        <v>20</v>
      </c>
      <c r="V26" s="125">
        <f>'thorburn clases'!D52</f>
        <v>5</v>
      </c>
      <c r="W26" s="125">
        <f>'N movement slave'!G52</f>
        <v>305</v>
      </c>
      <c r="X26" s="125">
        <f>'N movement slave'!H52</f>
        <v>1528</v>
      </c>
      <c r="Y26" s="125">
        <f>'N movement slave'!I52</f>
        <v>177</v>
      </c>
      <c r="Z26" s="125">
        <f>'N movement slave'!J52</f>
        <v>379</v>
      </c>
      <c r="AA26" s="125">
        <f>'N movement slave'!K52</f>
        <v>9</v>
      </c>
      <c r="AB26" s="107">
        <f t="shared" si="2"/>
        <v>0.92359375</v>
      </c>
      <c r="AC26" s="106">
        <f>'Data entry'!X52</f>
        <v>183.82125</v>
      </c>
      <c r="AD26" s="106">
        <v>220</v>
      </c>
      <c r="AE26" s="36">
        <v>0.2</v>
      </c>
      <c r="AF26" s="35">
        <f t="shared" si="3"/>
        <v>156.46213278688526</v>
      </c>
      <c r="AG26" s="35">
        <f t="shared" si="4"/>
        <v>7.570748360655739</v>
      </c>
      <c r="AH26" s="35">
        <f t="shared" si="5"/>
        <v>139.84591737448773</v>
      </c>
      <c r="AI26" s="35">
        <f t="shared" si="6"/>
        <v>139.882125</v>
      </c>
      <c r="AJ26" s="35">
        <f t="shared" si="7"/>
        <v>6.768489919354839</v>
      </c>
      <c r="AK26" s="35">
        <f t="shared" si="8"/>
        <v>125.02669972908267</v>
      </c>
      <c r="AL26" s="551">
        <f>'Data entry'!BE52</f>
        <v>0.5</v>
      </c>
      <c r="AM26" s="536">
        <f t="shared" si="9"/>
        <v>69.92295868724386</v>
      </c>
      <c r="AN26" s="39">
        <v>5</v>
      </c>
      <c r="AO26" s="40">
        <v>1</v>
      </c>
      <c r="AP26" s="38">
        <f t="shared" si="10"/>
        <v>349.6147934362193</v>
      </c>
      <c r="AQ26" s="41">
        <v>7460</v>
      </c>
      <c r="AR26" s="41">
        <v>401</v>
      </c>
      <c r="AS26" s="41">
        <f t="shared" si="0"/>
        <v>7861</v>
      </c>
      <c r="AT26" s="42">
        <f t="shared" si="1"/>
        <v>4.4474595272385104E-05</v>
      </c>
      <c r="AU26" s="432">
        <f>'Verification score'!M52</f>
        <v>0.5791666666666667</v>
      </c>
      <c r="AV26" s="107">
        <f>'Data entry'!$AU$3</f>
        <v>0.1</v>
      </c>
      <c r="AW26" s="432">
        <f>'future bses'!AI52</f>
        <v>0.009642857142857153</v>
      </c>
      <c r="AX26" s="107">
        <f>'Data entry'!$AV$3</f>
        <v>0.05</v>
      </c>
      <c r="AY26" s="43">
        <f t="shared" si="11"/>
        <v>0.004707310060370916</v>
      </c>
      <c r="AZ26" s="537">
        <f t="shared" si="12"/>
        <v>35000</v>
      </c>
      <c r="BA26">
        <f t="shared" si="13"/>
        <v>1.3449457315345474E-07</v>
      </c>
      <c r="BB26" t="s">
        <v>433</v>
      </c>
    </row>
    <row r="27" spans="1:53" ht="39.75" customHeight="1">
      <c r="A27" s="281">
        <v>57</v>
      </c>
      <c r="B27" s="534" t="str">
        <f>'Data entry'!A57</f>
        <v>70b</v>
      </c>
      <c r="C27" s="559">
        <f>'Data entry'!B57</f>
        <v>55</v>
      </c>
      <c r="D27" s="559" t="str">
        <f>'Data entry'!C57</f>
        <v>Name removed</v>
      </c>
      <c r="E27" s="32" t="str">
        <f>'Data entry'!D57</f>
        <v>Cane</v>
      </c>
      <c r="F27" s="560">
        <f>'Data entry'!E57</f>
        <v>11200</v>
      </c>
      <c r="G27" s="560">
        <f>'Data entry'!F57</f>
        <v>5400</v>
      </c>
      <c r="H27" s="560">
        <f>'Data entry'!G57</f>
        <v>5800</v>
      </c>
      <c r="I27" s="557">
        <f>'Data entry'!H57</f>
        <v>0.5178571428571429</v>
      </c>
      <c r="J27" s="32" t="str">
        <f>'Data entry'!I57</f>
        <v>Bedformer</v>
      </c>
      <c r="K27" s="32" t="str">
        <f>'Data entry'!J57</f>
        <v>Lot number removed</v>
      </c>
      <c r="L27" s="32" t="str">
        <f>'Data entry'!K57</f>
        <v>Home Hill</v>
      </c>
      <c r="M27" s="461" t="str">
        <f>'Data entry'!T57</f>
        <v>changing effectiveness of water management, 0.25% improvement  in water, change in N applications ?? 2.5 year capital </v>
      </c>
      <c r="N27" s="33">
        <f>'Data entry'!L57</f>
        <v>0</v>
      </c>
      <c r="O27" s="33">
        <f>'Data entry'!M57</f>
        <v>0</v>
      </c>
      <c r="P27" s="161">
        <f>'Data entry'!N57</f>
        <v>3</v>
      </c>
      <c r="Q27" s="161">
        <f>'Data entry'!O57</f>
        <v>5</v>
      </c>
      <c r="R27" s="161">
        <f>'Data entry'!P57</f>
        <v>0</v>
      </c>
      <c r="S27" s="93">
        <f>'current bses'!L57+'current bses'!O57</f>
        <v>22.35</v>
      </c>
      <c r="T27" s="34" t="str">
        <f>'Data entry'!I57</f>
        <v>Bedformer</v>
      </c>
      <c r="U27" s="34">
        <f>'Data entry'!AD57</f>
        <v>380</v>
      </c>
      <c r="V27" s="125">
        <f>'thorburn clases'!D57</f>
        <v>2</v>
      </c>
      <c r="W27" s="125">
        <f>'N movement slave'!G57</f>
        <v>136</v>
      </c>
      <c r="X27" s="125">
        <f>'N movement slave'!H57</f>
        <v>1605</v>
      </c>
      <c r="Y27" s="125">
        <f>'N movement slave'!I57</f>
        <v>47</v>
      </c>
      <c r="Z27" s="125">
        <f>'N movement slave'!J57</f>
        <v>310</v>
      </c>
      <c r="AA27" s="125">
        <f>'N movement slave'!K57</f>
        <v>2</v>
      </c>
      <c r="AB27" s="107">
        <f t="shared" si="2"/>
        <v>0.9161875</v>
      </c>
      <c r="AC27" s="106">
        <f>'Data entry'!X57</f>
        <v>239.46</v>
      </c>
      <c r="AD27" s="106">
        <v>220</v>
      </c>
      <c r="AE27" s="36">
        <v>0.2</v>
      </c>
      <c r="AF27" s="35">
        <f t="shared" si="3"/>
        <v>96.44785294117646</v>
      </c>
      <c r="AG27" s="35">
        <f t="shared" si="4"/>
        <v>3.936647058823529</v>
      </c>
      <c r="AH27" s="35">
        <f t="shared" si="5"/>
        <v>1370.5485943382353</v>
      </c>
      <c r="AI27" s="35">
        <f t="shared" si="6"/>
        <v>92.946</v>
      </c>
      <c r="AJ27" s="35">
        <f t="shared" si="7"/>
        <v>3.7937142857142856</v>
      </c>
      <c r="AK27" s="35">
        <f t="shared" si="8"/>
        <v>1320.7863707142858</v>
      </c>
      <c r="AL27" s="538">
        <f>'Data entry'!BE57</f>
        <v>0.01</v>
      </c>
      <c r="AM27" s="536">
        <f t="shared" si="9"/>
        <v>13.705485943382353</v>
      </c>
      <c r="AN27" s="39">
        <v>2.5</v>
      </c>
      <c r="AO27" s="40">
        <v>1</v>
      </c>
      <c r="AP27" s="38">
        <f t="shared" si="10"/>
        <v>34.263714858455884</v>
      </c>
      <c r="AQ27" s="41">
        <v>7460</v>
      </c>
      <c r="AR27" s="41">
        <v>401</v>
      </c>
      <c r="AS27" s="41">
        <f t="shared" si="0"/>
        <v>7861</v>
      </c>
      <c r="AT27" s="42">
        <f t="shared" si="1"/>
        <v>4.358696712689974E-06</v>
      </c>
      <c r="AU27" s="432">
        <f>'Verification score'!M57</f>
        <v>0.5108333333333334</v>
      </c>
      <c r="AV27" s="107">
        <f>'Data entry'!$AU$3</f>
        <v>0.1</v>
      </c>
      <c r="AW27" s="432">
        <f>'future bses'!AI57</f>
        <v>0.004767857142857143</v>
      </c>
      <c r="AX27" s="107">
        <f>'Data entry'!$AV$3</f>
        <v>0.05</v>
      </c>
      <c r="AY27" s="43">
        <f t="shared" si="11"/>
        <v>0.0004582445631706458</v>
      </c>
      <c r="AZ27" s="537">
        <f t="shared" si="12"/>
        <v>5800</v>
      </c>
      <c r="BA27">
        <f t="shared" si="13"/>
        <v>7.900768330528377E-08</v>
      </c>
    </row>
    <row r="28" spans="1:53" ht="39.75" customHeight="1">
      <c r="A28" s="281">
        <v>67</v>
      </c>
      <c r="B28" s="213">
        <f>'Data entry'!A67</f>
        <v>82</v>
      </c>
      <c r="C28" s="213">
        <f>'Data entry'!B67</f>
        <v>65</v>
      </c>
      <c r="D28" s="213" t="str">
        <f>'Data entry'!C67</f>
        <v>Name removed</v>
      </c>
      <c r="E28" s="45" t="str">
        <f>'Data entry'!D67</f>
        <v>Cane</v>
      </c>
      <c r="F28" s="561">
        <f>'Data entry'!E67</f>
        <v>275000</v>
      </c>
      <c r="G28" s="561">
        <f>'Data entry'!F67</f>
        <v>225000</v>
      </c>
      <c r="H28" s="561">
        <f>'Data entry'!G67</f>
        <v>50000</v>
      </c>
      <c r="I28" s="558">
        <f>'Data entry'!H67</f>
        <v>0.18181818181818182</v>
      </c>
      <c r="J28" s="45" t="str">
        <f>'Data entry'!I67</f>
        <v>Lateral move irrigator</v>
      </c>
      <c r="K28" s="45" t="str">
        <f>'Data entry'!J67</f>
        <v>Lot number removed</v>
      </c>
      <c r="L28" s="45">
        <f>'Data entry'!K67</f>
        <v>0</v>
      </c>
      <c r="M28" s="461" t="str">
        <f>'Data entry'!T67</f>
        <v>changing effectiveness of water management, 50% improvement unless fertigation, 2.5 year capital </v>
      </c>
      <c r="N28" s="33">
        <f>'Data entry'!L67</f>
        <v>0</v>
      </c>
      <c r="O28" s="33">
        <f>'Data entry'!M67</f>
        <v>0</v>
      </c>
      <c r="P28" s="161">
        <f>'Data entry'!N67</f>
        <v>3</v>
      </c>
      <c r="Q28" s="161">
        <f>'Data entry'!O67</f>
        <v>6</v>
      </c>
      <c r="R28" s="161">
        <f>'Data entry'!P67</f>
        <v>1</v>
      </c>
      <c r="S28" s="93">
        <f>'current bses'!L67+'current bses'!O67</f>
        <v>1.5</v>
      </c>
      <c r="T28" s="34" t="str">
        <f>'Data entry'!I67</f>
        <v>Lateral move irrigator</v>
      </c>
      <c r="U28" s="34">
        <f>'Data entry'!AD67</f>
        <v>45</v>
      </c>
      <c r="V28" s="125">
        <f>'thorburn clases'!D67</f>
        <v>4</v>
      </c>
      <c r="W28" s="125">
        <f>'N movement slave'!G67</f>
        <v>202</v>
      </c>
      <c r="X28" s="125">
        <f>'N movement slave'!H67</f>
        <v>1510</v>
      </c>
      <c r="Y28" s="125">
        <f>'N movement slave'!I67</f>
        <v>87</v>
      </c>
      <c r="Z28" s="125">
        <f>'N movement slave'!J67</f>
        <v>358</v>
      </c>
      <c r="AA28" s="125">
        <f>'N movement slave'!K67</f>
        <v>3</v>
      </c>
      <c r="AB28" s="107">
        <f t="shared" si="2"/>
        <v>0.994375</v>
      </c>
      <c r="AC28" s="106">
        <f>'Data entry'!X67</f>
        <v>150</v>
      </c>
      <c r="AD28" s="106">
        <v>220</v>
      </c>
      <c r="AE28" s="36">
        <v>0.2</v>
      </c>
      <c r="AF28" s="35">
        <f t="shared" si="3"/>
        <v>111.29702970297029</v>
      </c>
      <c r="AG28" s="35">
        <f t="shared" si="4"/>
        <v>3.7099009900990096</v>
      </c>
      <c r="AH28" s="35">
        <f t="shared" si="5"/>
        <v>166.00647586633661</v>
      </c>
      <c r="AI28" s="35">
        <f t="shared" si="6"/>
        <v>92</v>
      </c>
      <c r="AJ28" s="35">
        <f t="shared" si="7"/>
        <v>3.066666666666667</v>
      </c>
      <c r="AK28" s="35">
        <f t="shared" si="8"/>
        <v>137.22375</v>
      </c>
      <c r="AL28" s="548">
        <f>'Data entry'!BE67</f>
        <v>0.5</v>
      </c>
      <c r="AM28" s="536">
        <f t="shared" si="9"/>
        <v>83.00323793316831</v>
      </c>
      <c r="AN28" s="39">
        <v>2.5</v>
      </c>
      <c r="AO28" s="40">
        <v>1</v>
      </c>
      <c r="AP28" s="38">
        <f t="shared" si="10"/>
        <v>207.50809483292076</v>
      </c>
      <c r="AQ28" s="41">
        <v>7460</v>
      </c>
      <c r="AR28" s="41">
        <v>401</v>
      </c>
      <c r="AS28" s="41">
        <f t="shared" si="0"/>
        <v>7861</v>
      </c>
      <c r="AT28" s="42">
        <f t="shared" si="1"/>
        <v>2.6397162553481843E-05</v>
      </c>
      <c r="AU28" s="432">
        <f>'Verification score'!M67</f>
        <v>0.6620833333333334</v>
      </c>
      <c r="AV28" s="107">
        <f>'Data entry'!$AU$3</f>
        <v>0.1</v>
      </c>
      <c r="AW28" s="432">
        <f>'future bses'!AI67</f>
        <v>0.07910714285714288</v>
      </c>
      <c r="AX28" s="107">
        <f>'Data entry'!$AV$3</f>
        <v>0.05</v>
      </c>
      <c r="AY28" s="43">
        <f t="shared" si="11"/>
        <v>0.002825619772202034</v>
      </c>
      <c r="AZ28" s="537">
        <f t="shared" si="12"/>
        <v>50000</v>
      </c>
      <c r="BA28">
        <f t="shared" si="13"/>
        <v>5.651239544404068E-08</v>
      </c>
    </row>
    <row r="29" spans="1:53" ht="39.75" customHeight="1">
      <c r="A29" s="281">
        <v>80</v>
      </c>
      <c r="B29" s="213" t="str">
        <f>'Data entry'!A80</f>
        <v>97a</v>
      </c>
      <c r="C29" s="213">
        <f>'Data entry'!B80</f>
        <v>78</v>
      </c>
      <c r="D29" s="213" t="str">
        <f>'Data entry'!C80</f>
        <v>Name removed</v>
      </c>
      <c r="E29" s="45" t="str">
        <f>'Data entry'!D80</f>
        <v>Cane</v>
      </c>
      <c r="F29" s="561">
        <f>'Data entry'!E80</f>
        <v>47000</v>
      </c>
      <c r="G29" s="561">
        <f>'Data entry'!F80</f>
        <v>7000</v>
      </c>
      <c r="H29" s="561">
        <f>'Data entry'!G80</f>
        <v>40000</v>
      </c>
      <c r="I29" s="558">
        <f>'Data entry'!H80</f>
        <v>0.851063829787234</v>
      </c>
      <c r="J29" s="45" t="str">
        <f>'Data entry'!I80</f>
        <v>Laser levelling</v>
      </c>
      <c r="K29" s="45" t="str">
        <f>'Data entry'!J80</f>
        <v>Lot number removed</v>
      </c>
      <c r="L29" s="45">
        <f>'Data entry'!K80</f>
        <v>0</v>
      </c>
      <c r="M29" s="461" t="str">
        <f>'Data entry'!T80</f>
        <v>changing effectiveness of water management, 5% improvement, 5 year capital </v>
      </c>
      <c r="N29" s="33">
        <f>'Data entry'!L80</f>
        <v>0</v>
      </c>
      <c r="O29" s="33">
        <f>'Data entry'!M80</f>
        <v>0</v>
      </c>
      <c r="P29" s="161">
        <f>'Data entry'!N80</f>
        <v>3</v>
      </c>
      <c r="Q29" s="161">
        <f>'Data entry'!O80</f>
        <v>5</v>
      </c>
      <c r="R29" s="161">
        <f>'Data entry'!P80</f>
        <v>0</v>
      </c>
      <c r="S29" s="450">
        <f>'current bses'!L80+'current bses'!O80</f>
        <v>5.05</v>
      </c>
      <c r="T29" s="34" t="str">
        <f>'Data entry'!I80</f>
        <v>Laser levelling</v>
      </c>
      <c r="U29" s="34">
        <f>'Data entry'!AD80</f>
        <v>60</v>
      </c>
      <c r="V29" s="125">
        <f>'thorburn clases'!D80</f>
        <v>3</v>
      </c>
      <c r="W29" s="125">
        <f>'N movement slave'!G80</f>
        <v>174</v>
      </c>
      <c r="X29" s="125">
        <f>'N movement slave'!H80</f>
        <v>1585</v>
      </c>
      <c r="Y29" s="125">
        <f>'N movement slave'!I80</f>
        <v>78</v>
      </c>
      <c r="Z29" s="125">
        <f>'N movement slave'!J80</f>
        <v>311</v>
      </c>
      <c r="AA29" s="125">
        <f>'N movement slave'!K80</f>
        <v>2</v>
      </c>
      <c r="AB29" s="107">
        <f t="shared" si="2"/>
        <v>0.9810625</v>
      </c>
      <c r="AC29" s="106">
        <f>'Data entry'!X80</f>
        <v>195.624</v>
      </c>
      <c r="AD29" s="106">
        <f>'Data entry'!Y80</f>
        <v>195.624</v>
      </c>
      <c r="AE29" s="36">
        <v>0.2</v>
      </c>
      <c r="AF29" s="35">
        <f t="shared" si="3"/>
        <v>107.83852873563218</v>
      </c>
      <c r="AG29" s="35">
        <f t="shared" si="4"/>
        <v>2.6959632183908044</v>
      </c>
      <c r="AH29" s="35">
        <f t="shared" si="5"/>
        <v>158.6945048965517</v>
      </c>
      <c r="AI29" s="35">
        <f t="shared" si="6"/>
        <v>90.812</v>
      </c>
      <c r="AJ29" s="35">
        <f t="shared" si="7"/>
        <v>2.2702999999999998</v>
      </c>
      <c r="AK29" s="35">
        <f t="shared" si="8"/>
        <v>133.638371625</v>
      </c>
      <c r="AL29" s="548">
        <f>'Data entry'!BE80</f>
        <v>0.02</v>
      </c>
      <c r="AM29" s="536">
        <f t="shared" si="9"/>
        <v>3.173890097931034</v>
      </c>
      <c r="AN29" s="39">
        <v>5</v>
      </c>
      <c r="AO29" s="40">
        <v>1</v>
      </c>
      <c r="AP29" s="38">
        <f t="shared" si="10"/>
        <v>15.86945048965517</v>
      </c>
      <c r="AQ29" s="41">
        <v>7460</v>
      </c>
      <c r="AR29" s="41">
        <v>401</v>
      </c>
      <c r="AS29" s="41">
        <f t="shared" si="0"/>
        <v>7861</v>
      </c>
      <c r="AT29" s="42">
        <f t="shared" si="1"/>
        <v>2.0187572178673416E-06</v>
      </c>
      <c r="AU29" s="432">
        <f>'Verification score'!M80</f>
        <v>0.625</v>
      </c>
      <c r="AV29" s="107">
        <f>'Data entry'!$AU$3</f>
        <v>0.1</v>
      </c>
      <c r="AW29" s="432">
        <f>'future bses'!AI80</f>
        <v>0</v>
      </c>
      <c r="AX29" s="107">
        <f>'Data entry'!$AV$3</f>
        <v>0.05</v>
      </c>
      <c r="AY29" s="43">
        <f t="shared" si="11"/>
        <v>0.00021449295439840503</v>
      </c>
      <c r="AZ29" s="537">
        <f t="shared" si="12"/>
        <v>40000</v>
      </c>
      <c r="BA29">
        <f t="shared" si="13"/>
        <v>5.362323859960126E-09</v>
      </c>
    </row>
    <row r="30" spans="1:53" ht="39.75" customHeight="1">
      <c r="A30" s="281">
        <v>81</v>
      </c>
      <c r="B30" s="213" t="str">
        <f>'Data entry'!A81</f>
        <v>97b</v>
      </c>
      <c r="C30" s="213">
        <f>'Data entry'!B81</f>
        <v>79</v>
      </c>
      <c r="D30" s="213" t="str">
        <f>'Data entry'!C81</f>
        <v>Name removed</v>
      </c>
      <c r="E30" s="45" t="str">
        <f>'Data entry'!D81</f>
        <v>Cane</v>
      </c>
      <c r="F30" s="561">
        <f>'Data entry'!E81</f>
        <v>7000</v>
      </c>
      <c r="G30" s="561">
        <f>'Data entry'!F81</f>
        <v>2000</v>
      </c>
      <c r="H30" s="561">
        <f>'Data entry'!G81</f>
        <v>5000</v>
      </c>
      <c r="I30" s="558">
        <f>'Data entry'!H81</f>
        <v>0.7142857142857143</v>
      </c>
      <c r="J30" s="45" t="str">
        <f>'Data entry'!I81</f>
        <v>overflow prevention</v>
      </c>
      <c r="K30" s="45" t="str">
        <f>'Data entry'!J81</f>
        <v>Lot number removed</v>
      </c>
      <c r="L30" s="45">
        <f>'Data entry'!K81</f>
        <v>0</v>
      </c>
      <c r="M30" s="461" t="str">
        <f>'Data entry'!T81</f>
        <v>changing effectiveness of water management, 5% improvement, 5 year capital </v>
      </c>
      <c r="N30" s="33">
        <f>'Data entry'!L81</f>
        <v>0</v>
      </c>
      <c r="O30" s="33">
        <f>'Data entry'!M81</f>
        <v>0</v>
      </c>
      <c r="P30" s="161">
        <f>'Data entry'!N81</f>
        <v>3</v>
      </c>
      <c r="Q30" s="161">
        <f>'Data entry'!O81</f>
        <v>5</v>
      </c>
      <c r="R30" s="161">
        <f>'Data entry'!P81</f>
        <v>0</v>
      </c>
      <c r="S30" s="450">
        <f>'current bses'!L81+'current bses'!O81</f>
        <v>23.5</v>
      </c>
      <c r="T30" s="34" t="str">
        <f>'Data entry'!I81</f>
        <v>overflow prevention</v>
      </c>
      <c r="U30" s="34">
        <f>'Data entry'!AD81</f>
        <v>133</v>
      </c>
      <c r="V30" s="125">
        <f>'thorburn clases'!D81</f>
        <v>3</v>
      </c>
      <c r="W30" s="125">
        <f>'N movement slave'!G81</f>
        <v>174</v>
      </c>
      <c r="X30" s="125">
        <f>'N movement slave'!H81</f>
        <v>1585</v>
      </c>
      <c r="Y30" s="125">
        <f>'N movement slave'!I81</f>
        <v>78</v>
      </c>
      <c r="Z30" s="125">
        <f>'N movement slave'!J81</f>
        <v>311</v>
      </c>
      <c r="AA30" s="125">
        <f>'N movement slave'!K81</f>
        <v>2</v>
      </c>
      <c r="AB30" s="107">
        <f t="shared" si="2"/>
        <v>0.911875</v>
      </c>
      <c r="AC30" s="106">
        <f>'Data entry'!X81</f>
        <v>245.08575000000002</v>
      </c>
      <c r="AD30" s="106">
        <f>'Data entry'!Y81</f>
        <v>245.08575000000002</v>
      </c>
      <c r="AE30" s="36">
        <v>0.2</v>
      </c>
      <c r="AF30" s="35">
        <f t="shared" si="3"/>
        <v>135.12777011494254</v>
      </c>
      <c r="AG30" s="35">
        <f t="shared" si="4"/>
        <v>3.3781942528735636</v>
      </c>
      <c r="AH30" s="35">
        <f t="shared" si="5"/>
        <v>409.7052876170977</v>
      </c>
      <c r="AI30" s="35">
        <f t="shared" si="6"/>
        <v>115.54287500000002</v>
      </c>
      <c r="AJ30" s="35">
        <f t="shared" si="7"/>
        <v>2.8885718750000007</v>
      </c>
      <c r="AK30" s="35">
        <f t="shared" si="8"/>
        <v>350.3241916425782</v>
      </c>
      <c r="AL30" s="548">
        <f>'Data entry'!BE81</f>
        <v>0.5</v>
      </c>
      <c r="AM30" s="536">
        <f t="shared" si="9"/>
        <v>204.85264380854886</v>
      </c>
      <c r="AN30" s="39">
        <v>5</v>
      </c>
      <c r="AO30" s="40">
        <v>1</v>
      </c>
      <c r="AP30" s="38">
        <f t="shared" si="10"/>
        <v>1024.2632190427444</v>
      </c>
      <c r="AQ30" s="41">
        <v>7460</v>
      </c>
      <c r="AR30" s="41">
        <v>401</v>
      </c>
      <c r="AS30" s="41">
        <f t="shared" si="0"/>
        <v>7861</v>
      </c>
      <c r="AT30" s="42">
        <f t="shared" si="1"/>
        <v>0.0001302968094444402</v>
      </c>
      <c r="AU30" s="432">
        <f>'Verification score'!M81</f>
        <v>0.3016666666666667</v>
      </c>
      <c r="AV30" s="107">
        <f>'Data entry'!$AU$3</f>
        <v>0.1</v>
      </c>
      <c r="AW30" s="432">
        <f>'future bses'!AI81</f>
        <v>0.0008928571428571428</v>
      </c>
      <c r="AX30" s="107">
        <f>'Data entry'!$AV$3</f>
        <v>0.05</v>
      </c>
      <c r="AY30" s="43">
        <f t="shared" si="11"/>
        <v>0.01342334221586568</v>
      </c>
      <c r="AZ30" s="537">
        <f t="shared" si="12"/>
        <v>5000</v>
      </c>
      <c r="BA30">
        <f t="shared" si="13"/>
        <v>2.684668443173136E-06</v>
      </c>
    </row>
    <row r="31" spans="1:53" ht="39.75" customHeight="1">
      <c r="A31" s="281">
        <v>82</v>
      </c>
      <c r="B31" s="213">
        <f>'Data entry'!A82</f>
        <v>101</v>
      </c>
      <c r="C31" s="213">
        <f>'Data entry'!B82</f>
        <v>80</v>
      </c>
      <c r="D31" s="213" t="str">
        <f>'Data entry'!C82</f>
        <v>Name removed</v>
      </c>
      <c r="E31" s="45" t="str">
        <f>'Data entry'!D82</f>
        <v>Cane</v>
      </c>
      <c r="F31" s="561">
        <f>'Data entry'!E82</f>
        <v>70000</v>
      </c>
      <c r="G31" s="561">
        <f>'Data entry'!F82</f>
        <v>50000</v>
      </c>
      <c r="H31" s="561">
        <f>'Data entry'!G82</f>
        <v>20000</v>
      </c>
      <c r="I31" s="558">
        <f>'Data entry'!H82</f>
        <v>0.2857142857142857</v>
      </c>
      <c r="J31" s="45" t="str">
        <f>'Data entry'!I82</f>
        <v>GPS bedforming and harvest</v>
      </c>
      <c r="K31" s="45" t="str">
        <f>'Data entry'!J82</f>
        <v>No lot number supplied</v>
      </c>
      <c r="L31" s="45">
        <f>'Data entry'!K82</f>
        <v>0</v>
      </c>
      <c r="M31" s="461" t="str">
        <f>'Data entry'!T82</f>
        <v>changing effectiveness of water management, 0.25% improvement  in water, change in N applications ?? 2.5 year capital </v>
      </c>
      <c r="N31" s="33">
        <f>'Data entry'!L82</f>
        <v>0</v>
      </c>
      <c r="O31" s="33">
        <f>'Data entry'!M82</f>
        <v>0</v>
      </c>
      <c r="P31" s="161">
        <f>'Data entry'!N82</f>
        <v>4</v>
      </c>
      <c r="Q31" s="161">
        <f>'Data entry'!O82</f>
        <v>5</v>
      </c>
      <c r="R31" s="161">
        <f>'Data entry'!P82</f>
        <v>0</v>
      </c>
      <c r="S31" s="93">
        <f>'current bses'!L82+'current bses'!O82</f>
        <v>11.3</v>
      </c>
      <c r="T31" s="34" t="str">
        <f>'Data entry'!I82</f>
        <v>GPS bedforming and harvest</v>
      </c>
      <c r="U31" s="34">
        <f>'Data entry'!AD82</f>
        <v>682</v>
      </c>
      <c r="V31" s="125">
        <f>'thorburn clases'!D82</f>
        <v>2</v>
      </c>
      <c r="W31" s="125">
        <f>'N movement slave'!G82</f>
        <v>144</v>
      </c>
      <c r="X31" s="125">
        <f>'N movement slave'!H82</f>
        <v>1184</v>
      </c>
      <c r="Y31" s="125">
        <f>'N movement slave'!I82</f>
        <v>18</v>
      </c>
      <c r="Z31" s="125">
        <f>'N movement slave'!J82</f>
        <v>450</v>
      </c>
      <c r="AA31" s="125">
        <f>'N movement slave'!K82</f>
        <v>2</v>
      </c>
      <c r="AB31" s="107">
        <f t="shared" si="2"/>
        <v>0.957625</v>
      </c>
      <c r="AC31" s="106">
        <f>'Data entry'!X82</f>
        <v>83.05375</v>
      </c>
      <c r="AD31" s="106">
        <f>'Data entry'!Y82</f>
        <v>175.37</v>
      </c>
      <c r="AE31" s="36">
        <v>0.2</v>
      </c>
      <c r="AF31" s="35">
        <f t="shared" si="3"/>
        <v>26.63621527777778</v>
      </c>
      <c r="AG31" s="35">
        <f t="shared" si="4"/>
        <v>2.663621527777778</v>
      </c>
      <c r="AH31" s="35">
        <f t="shared" si="5"/>
        <v>1739.6118856970488</v>
      </c>
      <c r="AI31" s="35">
        <f t="shared" si="6"/>
        <v>26.45337500000001</v>
      </c>
      <c r="AJ31" s="35">
        <f t="shared" si="7"/>
        <v>2.645337500000001</v>
      </c>
      <c r="AK31" s="35">
        <f t="shared" si="8"/>
        <v>1727.6705825843756</v>
      </c>
      <c r="AL31" s="548">
        <f>'Data entry'!BE82</f>
        <v>0.01</v>
      </c>
      <c r="AM31" s="536">
        <f t="shared" si="9"/>
        <v>17.39611885697049</v>
      </c>
      <c r="AN31" s="39">
        <v>2.5</v>
      </c>
      <c r="AO31" s="40">
        <v>1</v>
      </c>
      <c r="AP31" s="38">
        <f t="shared" si="10"/>
        <v>43.49029714242622</v>
      </c>
      <c r="AQ31" s="41">
        <v>7460</v>
      </c>
      <c r="AR31" s="41">
        <v>401</v>
      </c>
      <c r="AS31" s="41">
        <f t="shared" si="0"/>
        <v>7861</v>
      </c>
      <c r="AT31" s="42">
        <f t="shared" si="1"/>
        <v>5.532412815472106E-06</v>
      </c>
      <c r="AU31" s="432">
        <f>'Verification score'!M82</f>
        <v>0.5304166666666668</v>
      </c>
      <c r="AV31" s="107">
        <f>'Data entry'!$AU$3</f>
        <v>0.1</v>
      </c>
      <c r="AW31" s="432">
        <f>'future bses'!AI82</f>
        <v>0.08964285714285715</v>
      </c>
      <c r="AX31" s="107">
        <f>'Data entry'!$AV$3</f>
        <v>0.05</v>
      </c>
      <c r="AY31" s="43">
        <f t="shared" si="11"/>
        <v>0.0005851973554110363</v>
      </c>
      <c r="AZ31" s="537">
        <f t="shared" si="12"/>
        <v>20000</v>
      </c>
      <c r="BA31">
        <f t="shared" si="13"/>
        <v>2.9259867770551814E-08</v>
      </c>
    </row>
    <row r="32" spans="1:53" ht="39.75" customHeight="1">
      <c r="A32" s="281">
        <v>87</v>
      </c>
      <c r="B32" s="289" t="s">
        <v>786</v>
      </c>
      <c r="C32" s="290">
        <v>85</v>
      </c>
      <c r="D32" s="290" t="s">
        <v>1116</v>
      </c>
      <c r="E32" s="290" t="s">
        <v>779</v>
      </c>
      <c r="F32" s="291">
        <v>3000</v>
      </c>
      <c r="G32" s="291">
        <v>1500</v>
      </c>
      <c r="H32" s="291">
        <f>F32-G32</f>
        <v>1500</v>
      </c>
      <c r="I32" s="303">
        <f>H32/F32</f>
        <v>0.5</v>
      </c>
      <c r="J32" s="293" t="s">
        <v>862</v>
      </c>
      <c r="K32" s="33"/>
      <c r="L32" s="33"/>
      <c r="M32" s="461" t="str">
        <f>'Data entry'!T87</f>
        <v>changing effectiveness of water management, 0.25/3% improvement, 2.5 year capital </v>
      </c>
      <c r="N32" s="33"/>
      <c r="O32" s="33"/>
      <c r="P32" s="115">
        <v>2</v>
      </c>
      <c r="Q32" s="295">
        <v>5</v>
      </c>
      <c r="R32" s="295">
        <v>0.2</v>
      </c>
      <c r="S32" s="93">
        <f>'current bses'!L87+'current bses'!O87</f>
        <v>4.95</v>
      </c>
      <c r="T32" s="34" t="str">
        <f>'Data entry'!I87</f>
        <v>laptop computer</v>
      </c>
      <c r="U32" s="34">
        <f>'Data entry'!AD87</f>
        <v>105</v>
      </c>
      <c r="V32" s="125">
        <f>'thorburn clases'!D87</f>
        <v>4</v>
      </c>
      <c r="W32" s="125">
        <f>'N movement slave'!G87</f>
        <v>202</v>
      </c>
      <c r="X32" s="125">
        <f>'N movement slave'!H87</f>
        <v>1510</v>
      </c>
      <c r="Y32" s="125">
        <f>'N movement slave'!I87</f>
        <v>87</v>
      </c>
      <c r="Z32" s="125">
        <f>'N movement slave'!J87</f>
        <v>358</v>
      </c>
      <c r="AA32" s="125">
        <f>'N movement slave'!K87</f>
        <v>3</v>
      </c>
      <c r="AB32" s="107">
        <f t="shared" si="2"/>
        <v>0.9814375</v>
      </c>
      <c r="AC32" s="106">
        <f>'Data entry'!X87</f>
        <v>77.49625</v>
      </c>
      <c r="AD32" s="106">
        <f>'Data entry'!Y87</f>
        <v>227.24</v>
      </c>
      <c r="AE32" s="36">
        <v>0.2</v>
      </c>
      <c r="AF32" s="35">
        <f>(Y32+AA32)*(AC32*AE32+AD32*1-AE32)/W32</f>
        <v>108.06204207920793</v>
      </c>
      <c r="AG32" s="35">
        <f t="shared" si="4"/>
        <v>3.602068069306931</v>
      </c>
      <c r="AH32" s="35">
        <f t="shared" si="5"/>
        <v>371.1964914808942</v>
      </c>
      <c r="AI32" s="35">
        <f>((AC32*AE32+AD32*(1-AE32))-W32)*0.5+Y32+AA32</f>
        <v>87.64562500000001</v>
      </c>
      <c r="AJ32" s="35">
        <f t="shared" si="7"/>
        <v>2.921520833333334</v>
      </c>
      <c r="AK32" s="35">
        <f t="shared" si="8"/>
        <v>301.06546080078135</v>
      </c>
      <c r="AL32" s="548">
        <f>'Data entry'!BE87</f>
        <v>0.0008</v>
      </c>
      <c r="AM32" s="536">
        <f t="shared" si="9"/>
        <v>0.2969571931847154</v>
      </c>
      <c r="AN32" s="39">
        <v>2.5</v>
      </c>
      <c r="AO32" s="40">
        <v>1</v>
      </c>
      <c r="AP32" s="38">
        <f t="shared" si="10"/>
        <v>0.7423929829617886</v>
      </c>
      <c r="AQ32" s="41">
        <v>7460</v>
      </c>
      <c r="AR32" s="41">
        <v>401</v>
      </c>
      <c r="AS32" s="41">
        <f t="shared" si="0"/>
        <v>7861</v>
      </c>
      <c r="AT32" s="42">
        <f t="shared" si="1"/>
        <v>9.444001818620896E-08</v>
      </c>
      <c r="AU32" s="432">
        <f>'Verification score'!M87</f>
        <v>0.3279166666666667</v>
      </c>
      <c r="AV32" s="107">
        <f>'Data entry'!$AU$3</f>
        <v>0.1</v>
      </c>
      <c r="AW32" s="432">
        <f>'future bses'!AI87</f>
        <v>0.4764285714285714</v>
      </c>
      <c r="AX32" s="107">
        <f>'Data entry'!$AV$3</f>
        <v>0.05</v>
      </c>
      <c r="AY32" s="43">
        <f t="shared" si="11"/>
        <v>9.986033121624262E-06</v>
      </c>
      <c r="AZ32" s="537">
        <f t="shared" si="12"/>
        <v>1500</v>
      </c>
      <c r="BA32">
        <f t="shared" si="13"/>
        <v>6.657355414416175E-09</v>
      </c>
    </row>
    <row r="33" spans="1:53" ht="25.5">
      <c r="A33" s="281">
        <v>89</v>
      </c>
      <c r="B33">
        <v>84</v>
      </c>
      <c r="C33">
        <v>87</v>
      </c>
      <c r="D33" t="s">
        <v>1116</v>
      </c>
      <c r="E33" s="658" t="s">
        <v>779</v>
      </c>
      <c r="F33" s="688">
        <v>25000</v>
      </c>
      <c r="G33" s="565">
        <v>15000</v>
      </c>
      <c r="H33" s="565">
        <v>10000</v>
      </c>
      <c r="I33" s="303">
        <f>H33/F33</f>
        <v>0.4</v>
      </c>
      <c r="J33" s="658" t="s">
        <v>668</v>
      </c>
      <c r="M33" s="685" t="s">
        <v>669</v>
      </c>
      <c r="P33" s="161">
        <f>'Data entry'!N89</f>
        <v>3</v>
      </c>
      <c r="Q33">
        <v>5</v>
      </c>
      <c r="R33">
        <v>0.25</v>
      </c>
      <c r="S33" s="93">
        <f>'current bses'!L89+'current bses'!O89</f>
        <v>9.65</v>
      </c>
      <c r="T33" s="34" t="str">
        <f>'Data entry'!I89</f>
        <v>laser level+ min till + GTCTB</v>
      </c>
      <c r="U33" s="34">
        <f>'Data entry'!AD89</f>
        <v>8</v>
      </c>
      <c r="V33" s="125">
        <f>'thorburn clases'!D89</f>
        <v>1</v>
      </c>
      <c r="W33" s="125">
        <f>'N movement slave'!G89</f>
        <v>202</v>
      </c>
      <c r="X33" s="125">
        <f>'N movement slave'!H89</f>
        <v>1510</v>
      </c>
      <c r="Y33" s="125">
        <f>'N movement slave'!I89</f>
        <v>87</v>
      </c>
      <c r="Z33" s="125">
        <f>'N movement slave'!J89</f>
        <v>358</v>
      </c>
      <c r="AA33" s="125">
        <f>'N movement slave'!K89</f>
        <v>3</v>
      </c>
      <c r="AB33" s="107">
        <f t="shared" si="2"/>
        <v>0.9638125</v>
      </c>
      <c r="AC33" s="106">
        <f>'Data entry'!X89</f>
        <v>60</v>
      </c>
      <c r="AD33" s="106">
        <f>'Data entry'!Y89</f>
        <v>90</v>
      </c>
      <c r="AE33" s="36">
        <v>0.2</v>
      </c>
      <c r="AF33" s="35">
        <f>(Y33+AA33)*(AC33*AE33+AD33*1-AE33)/W33</f>
        <v>45.35643564356435</v>
      </c>
      <c r="AG33" s="35">
        <f>AF33*AA33/(Y33+AA33)</f>
        <v>1.511881188118812</v>
      </c>
      <c r="AH33" s="35">
        <f>AG33*U33*AB33</f>
        <v>11.657359900990098</v>
      </c>
      <c r="AI33" s="35">
        <f>((AC33*AE33+AD33*(1-AE33))-W33)*0.5+Y33+AA33</f>
        <v>31</v>
      </c>
      <c r="AJ33" s="35">
        <f>AI33*AA33/(Y33+AA33)</f>
        <v>1.0333333333333334</v>
      </c>
      <c r="AK33" s="35">
        <f>AJ33*U33*AB33</f>
        <v>7.9675166666666675</v>
      </c>
      <c r="AL33" s="684">
        <f>'Data entry'!BE89</f>
        <v>0.35</v>
      </c>
      <c r="AM33" s="536">
        <f t="shared" si="9"/>
        <v>4.080075965346534</v>
      </c>
      <c r="AN33" s="39">
        <v>1</v>
      </c>
      <c r="AO33" s="40">
        <v>1</v>
      </c>
      <c r="AP33" s="38">
        <f>AM33*AN33*AO33</f>
        <v>4.080075965346534</v>
      </c>
      <c r="AQ33" s="41">
        <v>7460</v>
      </c>
      <c r="AR33" s="41">
        <v>401</v>
      </c>
      <c r="AS33" s="41">
        <f>AQ33+AR33</f>
        <v>7861</v>
      </c>
      <c r="AT33" s="42">
        <f>AM33*AN33*AO33/1000/AS33</f>
        <v>5.190276002221772E-07</v>
      </c>
      <c r="AU33" s="432">
        <f>'Verification score'!M89</f>
        <v>0.23875333333333332</v>
      </c>
      <c r="AV33" s="107">
        <f>'Data entry'!$AU$3</f>
        <v>0.1</v>
      </c>
      <c r="AW33" s="432">
        <f>'future bses'!AI89</f>
        <v>0.023928571428571428</v>
      </c>
      <c r="AX33" s="107">
        <f>'Data entry'!$AV$3</f>
        <v>0.05</v>
      </c>
      <c r="AY33" s="43">
        <f t="shared" si="11"/>
        <v>5.320553627283157E-05</v>
      </c>
      <c r="AZ33" s="537">
        <f t="shared" si="12"/>
        <v>10000</v>
      </c>
      <c r="BA33">
        <f t="shared" si="13"/>
        <v>5.320553627283157E-09</v>
      </c>
    </row>
    <row r="40" spans="2:3" ht="12.75">
      <c r="B40" s="1"/>
      <c r="C40" t="s">
        <v>678</v>
      </c>
    </row>
    <row r="41" spans="2:3" ht="12.75">
      <c r="B41" s="2"/>
      <c r="C41" t="s">
        <v>679</v>
      </c>
    </row>
    <row r="42" spans="2:3" ht="12.75">
      <c r="B42" s="3"/>
      <c r="C42" t="s">
        <v>680</v>
      </c>
    </row>
    <row r="43" spans="2:3" ht="12.75">
      <c r="B43" s="4"/>
      <c r="C43" t="s">
        <v>681</v>
      </c>
    </row>
    <row r="44" spans="2:3" ht="12.75">
      <c r="B44" s="5"/>
      <c r="C44" t="s">
        <v>682</v>
      </c>
    </row>
    <row r="45" spans="2:3" ht="12.75">
      <c r="B45" s="6"/>
      <c r="C45" t="s">
        <v>683</v>
      </c>
    </row>
  </sheetData>
  <sheetProtection/>
  <mergeCells count="3">
    <mergeCell ref="AN6:AN7"/>
    <mergeCell ref="C7:K7"/>
    <mergeCell ref="T7:AB7"/>
  </mergeCells>
  <printOptions/>
  <pageMargins left="0.75" right="0.75" top="1" bottom="1" header="0.5" footer="0.5"/>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BP34"/>
  <sheetViews>
    <sheetView zoomScalePageLayoutView="0" workbookViewId="0" topLeftCell="A1">
      <pane xSplit="4" ySplit="11" topLeftCell="E12" activePane="bottomRight" state="frozen"/>
      <selection pane="topLeft" activeCell="A1" sqref="A1"/>
      <selection pane="topRight" activeCell="E1" sqref="E1"/>
      <selection pane="bottomLeft" activeCell="A12" sqref="A12"/>
      <selection pane="bottomRight" activeCell="K12" sqref="K12"/>
    </sheetView>
  </sheetViews>
  <sheetFormatPr defaultColWidth="9.140625" defaultRowHeight="12.75"/>
  <cols>
    <col min="3" max="3" width="11.28125" style="0" customWidth="1"/>
    <col min="4" max="4" width="17.28125" style="0" customWidth="1"/>
    <col min="5" max="6" width="11.28125" style="0" customWidth="1"/>
    <col min="7" max="7" width="12.8515625" style="0" customWidth="1"/>
    <col min="8" max="8" width="11.28125" style="0" customWidth="1"/>
    <col min="9" max="9" width="13.00390625" style="0" customWidth="1"/>
    <col min="10" max="10" width="17.140625" style="0" customWidth="1"/>
    <col min="11" max="11" width="26.00390625" style="0" customWidth="1"/>
    <col min="12" max="12" width="12.7109375" style="0" customWidth="1"/>
    <col min="13" max="13" width="28.00390625" style="0" customWidth="1"/>
    <col min="14" max="15" width="12.7109375" style="0" customWidth="1"/>
    <col min="16" max="16" width="21.7109375" style="0" customWidth="1"/>
    <col min="17" max="18" width="12.7109375" style="0" customWidth="1"/>
    <col min="21" max="22" width="17.7109375" style="0" customWidth="1"/>
    <col min="23" max="23" width="11.8515625" style="0" customWidth="1"/>
    <col min="24" max="31" width="17.7109375" style="0" customWidth="1"/>
    <col min="32" max="37" width="15.421875" style="0" customWidth="1"/>
    <col min="38" max="40" width="14.28125" style="0" customWidth="1"/>
    <col min="41" max="45" width="19.7109375" style="0" customWidth="1"/>
    <col min="46" max="46" width="15.28125" style="0" customWidth="1"/>
    <col min="47" max="47" width="12.57421875" style="0" customWidth="1"/>
    <col min="48" max="48" width="12.421875" style="0" bestFit="1" customWidth="1"/>
    <col min="54" max="59" width="17.7109375" style="0" customWidth="1"/>
    <col min="60" max="64" width="15.421875" style="0" customWidth="1"/>
    <col min="65" max="67" width="14.28125" style="0" customWidth="1"/>
    <col min="68" max="68" width="19.7109375" style="0" customWidth="1"/>
  </cols>
  <sheetData>
    <row r="1" spans="3:47" ht="38.25" hidden="1">
      <c r="C1" t="s">
        <v>678</v>
      </c>
      <c r="AT1" s="19" t="s">
        <v>418</v>
      </c>
      <c r="AU1" s="15"/>
    </row>
    <row r="2" spans="2:46" ht="12.75" hidden="1">
      <c r="B2" s="2"/>
      <c r="C2" t="s">
        <v>679</v>
      </c>
      <c r="AT2" s="51"/>
    </row>
    <row r="3" spans="2:56" ht="12.75" hidden="1">
      <c r="B3" s="3"/>
      <c r="C3" t="s">
        <v>680</v>
      </c>
      <c r="AC3" t="s">
        <v>684</v>
      </c>
      <c r="AE3" t="s">
        <v>684</v>
      </c>
      <c r="AT3" s="51"/>
      <c r="BB3" t="s">
        <v>684</v>
      </c>
      <c r="BD3" t="s">
        <v>684</v>
      </c>
    </row>
    <row r="4" spans="2:55" ht="12.75" hidden="1">
      <c r="B4" s="4"/>
      <c r="C4" t="s">
        <v>681</v>
      </c>
      <c r="AD4" t="s">
        <v>684</v>
      </c>
      <c r="AT4" s="51"/>
      <c r="BC4" t="s">
        <v>684</v>
      </c>
    </row>
    <row r="5" spans="2:46" ht="12.75" hidden="1">
      <c r="B5" s="5"/>
      <c r="C5" t="s">
        <v>682</v>
      </c>
      <c r="AT5" s="51"/>
    </row>
    <row r="6" spans="2:64" ht="12.75" customHeight="1" hidden="1">
      <c r="B6" s="6"/>
      <c r="C6" t="s">
        <v>683</v>
      </c>
      <c r="AC6">
        <f>230/43599</f>
        <v>0.005275350352072296</v>
      </c>
      <c r="AD6">
        <f>155/7395</f>
        <v>0.020960108181203516</v>
      </c>
      <c r="AE6">
        <f>50/12352</f>
        <v>0.004047927461139896</v>
      </c>
      <c r="AF6" s="789" t="s">
        <v>685</v>
      </c>
      <c r="AG6" s="7"/>
      <c r="AH6" s="7"/>
      <c r="AI6" s="7"/>
      <c r="AJ6" s="7"/>
      <c r="AK6" s="7"/>
      <c r="AT6" s="51"/>
      <c r="BH6" s="789" t="s">
        <v>685</v>
      </c>
      <c r="BI6" s="7"/>
      <c r="BJ6" s="7"/>
      <c r="BK6" s="7"/>
      <c r="BL6" s="7"/>
    </row>
    <row r="7" spans="3:67" s="8" customFormat="1" ht="34.5" customHeight="1" hidden="1">
      <c r="C7" s="790" t="s">
        <v>686</v>
      </c>
      <c r="D7" s="790"/>
      <c r="E7" s="790"/>
      <c r="F7" s="790"/>
      <c r="G7" s="790"/>
      <c r="H7" s="790"/>
      <c r="I7" s="790"/>
      <c r="J7" s="790"/>
      <c r="K7" s="790"/>
      <c r="L7" s="9"/>
      <c r="M7" s="9"/>
      <c r="N7" s="10"/>
      <c r="O7" s="10"/>
      <c r="P7" s="10"/>
      <c r="Q7" s="10"/>
      <c r="R7" s="10"/>
      <c r="S7" s="12" t="s">
        <v>688</v>
      </c>
      <c r="T7" s="12"/>
      <c r="U7" s="791" t="s">
        <v>689</v>
      </c>
      <c r="V7" s="791"/>
      <c r="W7" s="791"/>
      <c r="X7" s="791"/>
      <c r="Y7" s="791"/>
      <c r="Z7" s="791"/>
      <c r="AA7" s="791"/>
      <c r="AB7" s="791"/>
      <c r="AC7" s="791"/>
      <c r="AD7" s="791"/>
      <c r="AE7" s="791"/>
      <c r="AF7" s="789"/>
      <c r="AG7" s="13" t="s">
        <v>691</v>
      </c>
      <c r="AH7" s="13"/>
      <c r="AI7" s="13"/>
      <c r="AJ7" s="13"/>
      <c r="AK7" s="13"/>
      <c r="AL7" s="12"/>
      <c r="AM7" s="12"/>
      <c r="AN7" s="12"/>
      <c r="AO7" s="793" t="s">
        <v>693</v>
      </c>
      <c r="AP7" s="793"/>
      <c r="AQ7" s="793"/>
      <c r="AR7" s="793"/>
      <c r="AS7" s="793"/>
      <c r="AT7" s="793"/>
      <c r="AU7"/>
      <c r="BH7" s="789"/>
      <c r="BI7" s="13" t="s">
        <v>691</v>
      </c>
      <c r="BJ7" s="13"/>
      <c r="BK7" s="13"/>
      <c r="BL7" s="13"/>
      <c r="BM7" s="12"/>
      <c r="BN7" s="12"/>
      <c r="BO7" s="12"/>
    </row>
    <row r="8" spans="3:68" ht="63" customHeight="1">
      <c r="C8" s="274" t="s">
        <v>695</v>
      </c>
      <c r="D8" s="274"/>
      <c r="E8" s="274"/>
      <c r="F8" s="274"/>
      <c r="G8" s="274"/>
      <c r="H8" s="274"/>
      <c r="I8" s="274"/>
      <c r="J8" s="274"/>
      <c r="K8" s="274" t="s">
        <v>696</v>
      </c>
      <c r="L8" s="274"/>
      <c r="M8" s="274"/>
      <c r="N8" s="275" t="s">
        <v>697</v>
      </c>
      <c r="O8" s="275" t="s">
        <v>698</v>
      </c>
      <c r="P8" s="275" t="s">
        <v>699</v>
      </c>
      <c r="Q8" s="275" t="s">
        <v>700</v>
      </c>
      <c r="R8" s="275" t="s">
        <v>701</v>
      </c>
      <c r="S8" s="274" t="s">
        <v>371</v>
      </c>
      <c r="T8" s="274" t="s">
        <v>372</v>
      </c>
      <c r="U8" s="276" t="s">
        <v>334</v>
      </c>
      <c r="V8" s="276" t="s">
        <v>335</v>
      </c>
      <c r="W8" s="276" t="s">
        <v>336</v>
      </c>
      <c r="X8" s="276" t="s">
        <v>336</v>
      </c>
      <c r="Y8" s="276" t="s">
        <v>336</v>
      </c>
      <c r="Z8" s="276" t="s">
        <v>448</v>
      </c>
      <c r="AA8" s="276" t="s">
        <v>448</v>
      </c>
      <c r="AB8" s="276" t="s">
        <v>448</v>
      </c>
      <c r="AC8" s="277" t="s">
        <v>1039</v>
      </c>
      <c r="AD8" s="277" t="s">
        <v>1039</v>
      </c>
      <c r="AE8" s="277" t="s">
        <v>1039</v>
      </c>
      <c r="AF8" s="274" t="s">
        <v>712</v>
      </c>
      <c r="AG8" s="274" t="s">
        <v>713</v>
      </c>
      <c r="AH8" s="274"/>
      <c r="AI8" s="274" t="s">
        <v>337</v>
      </c>
      <c r="AJ8" s="274" t="s">
        <v>337</v>
      </c>
      <c r="AK8" s="274" t="s">
        <v>337</v>
      </c>
      <c r="AL8" s="274"/>
      <c r="AM8" s="274"/>
      <c r="AN8" s="274"/>
      <c r="AO8" s="274" t="s">
        <v>352</v>
      </c>
      <c r="AP8" s="278" t="s">
        <v>485</v>
      </c>
      <c r="AQ8" s="278" t="s">
        <v>480</v>
      </c>
      <c r="AR8" s="278" t="s">
        <v>462</v>
      </c>
      <c r="AS8" s="278" t="s">
        <v>523</v>
      </c>
      <c r="AT8" s="19" t="s">
        <v>718</v>
      </c>
      <c r="AU8" s="15"/>
      <c r="BB8" s="277" t="s">
        <v>1039</v>
      </c>
      <c r="BC8" s="277" t="s">
        <v>1039</v>
      </c>
      <c r="BD8" s="277" t="s">
        <v>1039</v>
      </c>
      <c r="BE8" s="277" t="s">
        <v>1048</v>
      </c>
      <c r="BF8" s="277" t="s">
        <v>1048</v>
      </c>
      <c r="BG8" s="277" t="s">
        <v>1048</v>
      </c>
      <c r="BH8" s="274" t="s">
        <v>712</v>
      </c>
      <c r="BI8" s="274" t="s">
        <v>713</v>
      </c>
      <c r="BJ8" s="274" t="s">
        <v>337</v>
      </c>
      <c r="BK8" s="274" t="s">
        <v>337</v>
      </c>
      <c r="BL8" s="274" t="s">
        <v>337</v>
      </c>
      <c r="BM8" s="274"/>
      <c r="BN8" s="274"/>
      <c r="BO8" s="274"/>
      <c r="BP8" s="274" t="s">
        <v>352</v>
      </c>
    </row>
    <row r="9" spans="2:68" ht="76.5">
      <c r="B9" s="247"/>
      <c r="C9" s="266" t="s">
        <v>720</v>
      </c>
      <c r="D9" s="267" t="s">
        <v>332</v>
      </c>
      <c r="E9" s="267" t="s">
        <v>451</v>
      </c>
      <c r="F9" s="267" t="s">
        <v>452</v>
      </c>
      <c r="G9" s="267" t="s">
        <v>453</v>
      </c>
      <c r="H9" s="267" t="s">
        <v>454</v>
      </c>
      <c r="I9" s="267" t="s">
        <v>455</v>
      </c>
      <c r="J9" s="267" t="s">
        <v>456</v>
      </c>
      <c r="K9" s="266" t="s">
        <v>721</v>
      </c>
      <c r="L9" s="266" t="s">
        <v>460</v>
      </c>
      <c r="M9" s="266" t="s">
        <v>459</v>
      </c>
      <c r="N9" s="266" t="s">
        <v>722</v>
      </c>
      <c r="O9" s="266" t="s">
        <v>723</v>
      </c>
      <c r="P9" s="266" t="s">
        <v>724</v>
      </c>
      <c r="Q9" s="266" t="s">
        <v>725</v>
      </c>
      <c r="R9" s="266" t="s">
        <v>726</v>
      </c>
      <c r="S9" s="268" t="s">
        <v>688</v>
      </c>
      <c r="T9" s="268" t="s">
        <v>688</v>
      </c>
      <c r="U9" s="268" t="s">
        <v>728</v>
      </c>
      <c r="V9" s="268" t="s">
        <v>338</v>
      </c>
      <c r="W9" s="266" t="s">
        <v>339</v>
      </c>
      <c r="X9" s="266" t="s">
        <v>340</v>
      </c>
      <c r="Y9" s="266" t="s">
        <v>341</v>
      </c>
      <c r="Z9" s="266" t="s">
        <v>365</v>
      </c>
      <c r="AA9" s="266" t="s">
        <v>366</v>
      </c>
      <c r="AB9" s="266" t="s">
        <v>367</v>
      </c>
      <c r="AC9" s="266" t="s">
        <v>1043</v>
      </c>
      <c r="AD9" s="266" t="s">
        <v>1044</v>
      </c>
      <c r="AE9" s="266" t="s">
        <v>1045</v>
      </c>
      <c r="AF9" s="269" t="s">
        <v>735</v>
      </c>
      <c r="AG9" s="269" t="s">
        <v>353</v>
      </c>
      <c r="AH9" s="269" t="s">
        <v>185</v>
      </c>
      <c r="AI9" s="269" t="s">
        <v>347</v>
      </c>
      <c r="AJ9" s="269" t="s">
        <v>348</v>
      </c>
      <c r="AK9" s="269" t="s">
        <v>349</v>
      </c>
      <c r="AL9" s="266" t="s">
        <v>344</v>
      </c>
      <c r="AM9" s="266" t="s">
        <v>345</v>
      </c>
      <c r="AN9" s="266" t="s">
        <v>346</v>
      </c>
      <c r="AO9" s="268" t="s">
        <v>736</v>
      </c>
      <c r="AP9" s="269" t="s">
        <v>737</v>
      </c>
      <c r="AQ9" s="269" t="s">
        <v>482</v>
      </c>
      <c r="AR9" s="269" t="s">
        <v>463</v>
      </c>
      <c r="AS9" s="269" t="s">
        <v>483</v>
      </c>
      <c r="AT9" s="433" t="s">
        <v>418</v>
      </c>
      <c r="AU9" s="23" t="s">
        <v>687</v>
      </c>
      <c r="AV9" s="307" t="s">
        <v>419</v>
      </c>
      <c r="BE9" s="266" t="s">
        <v>1043</v>
      </c>
      <c r="BF9" s="266" t="s">
        <v>1044</v>
      </c>
      <c r="BG9" s="266" t="s">
        <v>1045</v>
      </c>
      <c r="BH9" s="269" t="s">
        <v>735</v>
      </c>
      <c r="BI9" s="269" t="s">
        <v>353</v>
      </c>
      <c r="BJ9" s="269" t="s">
        <v>347</v>
      </c>
      <c r="BK9" s="269" t="s">
        <v>348</v>
      </c>
      <c r="BL9" s="269" t="s">
        <v>349</v>
      </c>
      <c r="BM9" s="266" t="s">
        <v>344</v>
      </c>
      <c r="BN9" s="266" t="s">
        <v>345</v>
      </c>
      <c r="BO9" s="266" t="s">
        <v>346</v>
      </c>
      <c r="BP9" s="268" t="s">
        <v>736</v>
      </c>
    </row>
    <row r="10" spans="1:68" ht="70.5" customHeight="1">
      <c r="A10" s="288" t="s">
        <v>1114</v>
      </c>
      <c r="B10" s="247"/>
      <c r="C10" s="269" t="s">
        <v>695</v>
      </c>
      <c r="D10" s="269" t="s">
        <v>816</v>
      </c>
      <c r="E10" s="269"/>
      <c r="F10" s="269"/>
      <c r="G10" s="269"/>
      <c r="H10" s="269"/>
      <c r="I10" s="269"/>
      <c r="J10" s="269"/>
      <c r="K10" s="269" t="s">
        <v>461</v>
      </c>
      <c r="L10" s="269"/>
      <c r="M10" s="269"/>
      <c r="N10" s="269" t="s">
        <v>738</v>
      </c>
      <c r="O10" s="269" t="s">
        <v>739</v>
      </c>
      <c r="P10" s="269" t="s">
        <v>740</v>
      </c>
      <c r="Q10" s="269" t="s">
        <v>755</v>
      </c>
      <c r="R10" s="269" t="s">
        <v>756</v>
      </c>
      <c r="S10" s="270"/>
      <c r="T10" s="270"/>
      <c r="U10" s="269" t="s">
        <v>758</v>
      </c>
      <c r="V10" s="269" t="s">
        <v>759</v>
      </c>
      <c r="W10" s="271" t="s">
        <v>350</v>
      </c>
      <c r="X10" s="271" t="s">
        <v>350</v>
      </c>
      <c r="Y10" s="271" t="s">
        <v>350</v>
      </c>
      <c r="Z10" s="272" t="s">
        <v>370</v>
      </c>
      <c r="AA10" s="272" t="s">
        <v>370</v>
      </c>
      <c r="AB10" s="272" t="s">
        <v>370</v>
      </c>
      <c r="AC10" s="266" t="s">
        <v>741</v>
      </c>
      <c r="AD10" s="266" t="s">
        <v>742</v>
      </c>
      <c r="AE10" s="266" t="s">
        <v>743</v>
      </c>
      <c r="AF10" s="272" t="s">
        <v>764</v>
      </c>
      <c r="AG10" s="273" t="s">
        <v>765</v>
      </c>
      <c r="AH10" s="273" t="s">
        <v>186</v>
      </c>
      <c r="AI10" s="270" t="s">
        <v>351</v>
      </c>
      <c r="AJ10" s="270" t="s">
        <v>351</v>
      </c>
      <c r="AK10" s="270" t="s">
        <v>351</v>
      </c>
      <c r="AL10" s="270" t="s">
        <v>768</v>
      </c>
      <c r="AM10" s="270" t="s">
        <v>768</v>
      </c>
      <c r="AN10" s="270" t="s">
        <v>768</v>
      </c>
      <c r="AO10" s="270"/>
      <c r="AP10" s="269" t="s">
        <v>486</v>
      </c>
      <c r="AQ10" s="269" t="s">
        <v>530</v>
      </c>
      <c r="AR10" s="269" t="s">
        <v>464</v>
      </c>
      <c r="AS10" s="269" t="s">
        <v>530</v>
      </c>
      <c r="AT10" s="434" t="s">
        <v>420</v>
      </c>
      <c r="AU10" s="25"/>
      <c r="AV10" s="19" t="s">
        <v>421</v>
      </c>
      <c r="BB10" s="266" t="s">
        <v>1040</v>
      </c>
      <c r="BC10" s="266" t="s">
        <v>1041</v>
      </c>
      <c r="BD10" s="266" t="s">
        <v>1042</v>
      </c>
      <c r="BE10" s="266" t="s">
        <v>1047</v>
      </c>
      <c r="BF10" s="266" t="s">
        <v>1047</v>
      </c>
      <c r="BG10" s="266" t="s">
        <v>1047</v>
      </c>
      <c r="BH10" s="272" t="s">
        <v>764</v>
      </c>
      <c r="BI10" s="273" t="s">
        <v>765</v>
      </c>
      <c r="BJ10" s="270" t="s">
        <v>351</v>
      </c>
      <c r="BK10" s="270" t="s">
        <v>351</v>
      </c>
      <c r="BL10" s="270" t="s">
        <v>351</v>
      </c>
      <c r="BM10" s="270" t="s">
        <v>768</v>
      </c>
      <c r="BN10" s="270" t="s">
        <v>768</v>
      </c>
      <c r="BO10" s="270" t="s">
        <v>768</v>
      </c>
      <c r="BP10" s="270"/>
    </row>
    <row r="11" spans="3:68" ht="38.25">
      <c r="C11" s="28" t="s">
        <v>770</v>
      </c>
      <c r="D11" s="28"/>
      <c r="E11" s="28"/>
      <c r="F11" s="28"/>
      <c r="G11" s="28"/>
      <c r="H11" s="28"/>
      <c r="I11" s="28"/>
      <c r="J11" s="28"/>
      <c r="K11" s="28" t="s">
        <v>770</v>
      </c>
      <c r="L11" s="28"/>
      <c r="M11" s="28"/>
      <c r="N11" s="29"/>
      <c r="O11" s="29"/>
      <c r="P11" s="29"/>
      <c r="Q11" s="29"/>
      <c r="R11" s="29"/>
      <c r="S11" s="28" t="s">
        <v>588</v>
      </c>
      <c r="T11" s="28"/>
      <c r="U11" s="28"/>
      <c r="V11" s="28"/>
      <c r="W11" s="28"/>
      <c r="X11" s="28"/>
      <c r="Y11" s="28"/>
      <c r="Z11" s="28" t="s">
        <v>770</v>
      </c>
      <c r="AA11" s="28" t="s">
        <v>770</v>
      </c>
      <c r="AB11" s="28" t="s">
        <v>770</v>
      </c>
      <c r="AC11" s="28" t="s">
        <v>684</v>
      </c>
      <c r="AD11" s="28"/>
      <c r="AE11" s="28"/>
      <c r="AF11" s="28"/>
      <c r="AG11" s="30" t="s">
        <v>684</v>
      </c>
      <c r="AH11" s="30"/>
      <c r="AI11" s="30"/>
      <c r="AJ11" s="30"/>
      <c r="AK11" s="30"/>
      <c r="AL11" s="28"/>
      <c r="AM11" s="28"/>
      <c r="AN11" s="28"/>
      <c r="AO11" s="28"/>
      <c r="AP11" s="437" t="s">
        <v>582</v>
      </c>
      <c r="AQ11" s="27"/>
      <c r="AR11" s="437" t="s">
        <v>583</v>
      </c>
      <c r="AS11" s="27"/>
      <c r="AT11" s="436" t="s">
        <v>422</v>
      </c>
      <c r="AU11" s="31" t="s">
        <v>757</v>
      </c>
      <c r="BB11" s="28" t="s">
        <v>684</v>
      </c>
      <c r="BC11" s="28"/>
      <c r="BD11" s="28"/>
      <c r="BE11" s="28"/>
      <c r="BF11" s="28"/>
      <c r="BG11" s="28"/>
      <c r="BH11" s="28"/>
      <c r="BI11" s="30" t="s">
        <v>684</v>
      </c>
      <c r="BJ11" s="30"/>
      <c r="BK11" s="30"/>
      <c r="BL11" s="30"/>
      <c r="BM11" s="28"/>
      <c r="BN11" s="28"/>
      <c r="BO11" s="28"/>
      <c r="BP11" s="28"/>
    </row>
    <row r="12" spans="1:68" ht="39.75" customHeight="1">
      <c r="A12">
        <v>27</v>
      </c>
      <c r="B12" s="214">
        <f>'Data entry'!A27</f>
        <v>37</v>
      </c>
      <c r="C12" s="115">
        <f>'Data entry'!B27</f>
        <v>25</v>
      </c>
      <c r="D12" s="161" t="s">
        <v>1116</v>
      </c>
      <c r="E12" s="33" t="str">
        <f>'Data entry'!D27</f>
        <v>Cane</v>
      </c>
      <c r="F12" s="112">
        <f>'Data entry'!E27</f>
        <v>22727</v>
      </c>
      <c r="G12" s="112">
        <f>'Data entry'!F27</f>
        <v>11364</v>
      </c>
      <c r="H12" s="112">
        <f>'Data entry'!G27</f>
        <v>11363</v>
      </c>
      <c r="I12" s="200">
        <f>'Data entry'!H27</f>
        <v>0.4999779997359968</v>
      </c>
      <c r="J12" s="39" t="str">
        <f>'Data entry'!I27</f>
        <v>Hooded Sprayers</v>
      </c>
      <c r="K12" s="33" t="str">
        <f>'Data entry'!J27</f>
        <v>Lot number removed</v>
      </c>
      <c r="L12" s="217">
        <f>'Data entry'!K27</f>
        <v>0</v>
      </c>
      <c r="M12" s="556" t="str">
        <f>'Data entry'!T27</f>
        <v>Pesticide - if no information in scoresheet about potential reduction, then assume 25 % reduction - have values</v>
      </c>
      <c r="N12" s="115">
        <f>'Data entry'!L27</f>
        <v>0</v>
      </c>
      <c r="O12" s="115">
        <f>'Data entry'!M27</f>
        <v>0</v>
      </c>
      <c r="P12" s="115">
        <f>'Data entry'!N27</f>
        <v>3</v>
      </c>
      <c r="Q12" s="115">
        <f>'Data entry'!O27</f>
        <v>5</v>
      </c>
      <c r="R12" s="115">
        <f>'Data entry'!P27</f>
        <v>1</v>
      </c>
      <c r="S12" s="454">
        <f>'current bses'!AA27</f>
        <v>7.85</v>
      </c>
      <c r="T12" s="92"/>
      <c r="U12" s="34" t="str">
        <f>'Data entry'!I27</f>
        <v>Hooded Sprayers</v>
      </c>
      <c r="V12" s="34">
        <f>'Data entry'!AD27</f>
        <v>400</v>
      </c>
      <c r="W12" s="34">
        <f>'Data entry'!AF27*$V12</f>
        <v>248</v>
      </c>
      <c r="X12" s="34">
        <f>'Data entry'!AG27*$V12</f>
        <v>400</v>
      </c>
      <c r="Y12" s="34">
        <f>'Data entry'!AH27*$V12</f>
        <v>1040</v>
      </c>
      <c r="Z12" s="93">
        <f>'Data entry'!AO27*$V12</f>
        <v>248</v>
      </c>
      <c r="AA12" s="93">
        <f>'Data entry'!AP27*$V12</f>
        <v>200</v>
      </c>
      <c r="AB12" s="93">
        <f>'Data entry'!AQ27*$V12</f>
        <v>840</v>
      </c>
      <c r="AC12" s="43">
        <f aca="true" t="shared" si="0" ref="AC12:AD16">Z12*0.9*AC$6</f>
        <v>1.1774581985825365</v>
      </c>
      <c r="AD12" s="43">
        <f t="shared" si="0"/>
        <v>3.7728194726166326</v>
      </c>
      <c r="AE12" s="43">
        <f>AB12*0.625*AE$6</f>
        <v>2.1251619170984455</v>
      </c>
      <c r="AF12" s="39">
        <v>2.5</v>
      </c>
      <c r="AG12" s="40">
        <v>1</v>
      </c>
      <c r="AH12" s="38">
        <f>(AC12+AD12+AE12)*AF12*AG12</f>
        <v>17.688598970744035</v>
      </c>
      <c r="AI12" s="91">
        <v>21799.5</v>
      </c>
      <c r="AJ12" s="91">
        <v>3697.5</v>
      </c>
      <c r="AK12" s="91">
        <v>6176</v>
      </c>
      <c r="AL12" s="562">
        <f aca="true" t="shared" si="1" ref="AL12:AN16">AC12*$AF12*$AG12/AI12</f>
        <v>0.00013503270700962597</v>
      </c>
      <c r="AM12" s="562">
        <f t="shared" si="1"/>
        <v>0.002550925944974059</v>
      </c>
      <c r="AN12" s="562">
        <f t="shared" si="1"/>
        <v>0.0008602501283591506</v>
      </c>
      <c r="AO12" s="94">
        <f>SUM(AL12:AN12)</f>
        <v>0.0035462087803428354</v>
      </c>
      <c r="AP12" s="43">
        <f>'Verification score'!M27</f>
        <v>0.4041666666666667</v>
      </c>
      <c r="AQ12" s="107">
        <f>'Data entry'!$AU$3</f>
        <v>0.1</v>
      </c>
      <c r="AR12" s="43">
        <f>'future bses'!AI27</f>
        <v>0.012125000000000004</v>
      </c>
      <c r="AS12" s="107">
        <f>'Data entry'!$AV$3</f>
        <v>0.05</v>
      </c>
      <c r="AT12" s="43">
        <f>AO12*(1+AP12*AQ12)*(1+AR12*AS12)*100</f>
        <v>0.36917714989714784</v>
      </c>
      <c r="AU12" s="44">
        <f>H12</f>
        <v>11363</v>
      </c>
      <c r="AV12">
        <f>AT12/AU12</f>
        <v>3.248940859783049E-05</v>
      </c>
      <c r="AX12" t="s">
        <v>684</v>
      </c>
      <c r="AY12" t="s">
        <v>1046</v>
      </c>
      <c r="BB12" s="43">
        <f aca="true" t="shared" si="2" ref="BB12:BD16">Z12/20</f>
        <v>12.4</v>
      </c>
      <c r="BC12" s="43">
        <f t="shared" si="2"/>
        <v>10</v>
      </c>
      <c r="BD12" s="43">
        <f t="shared" si="2"/>
        <v>42</v>
      </c>
      <c r="BE12" s="43">
        <f>BB12/460</f>
        <v>0.026956521739130435</v>
      </c>
      <c r="BF12" s="43">
        <f>BC12/310</f>
        <v>0.03225806451612903</v>
      </c>
      <c r="BG12" s="43">
        <f>BD12/100</f>
        <v>0.42</v>
      </c>
      <c r="BH12" s="39">
        <v>2.5</v>
      </c>
      <c r="BI12" s="40">
        <v>1</v>
      </c>
      <c r="BJ12" s="91">
        <v>460</v>
      </c>
      <c r="BK12" s="91">
        <v>310</v>
      </c>
      <c r="BL12" s="91">
        <v>100</v>
      </c>
      <c r="BM12" s="562">
        <f aca="true" t="shared" si="3" ref="BM12:BO16">BB12*$AF12*$AG12/BJ12</f>
        <v>0.06739130434782609</v>
      </c>
      <c r="BN12" s="562">
        <f t="shared" si="3"/>
        <v>0.08064516129032258</v>
      </c>
      <c r="BO12" s="562">
        <f t="shared" si="3"/>
        <v>1.05</v>
      </c>
      <c r="BP12" s="94">
        <f>SUM(BM12:BO12)</f>
        <v>1.1980364656381486</v>
      </c>
    </row>
    <row r="13" spans="1:68" ht="39.75" customHeight="1">
      <c r="A13">
        <v>62</v>
      </c>
      <c r="B13" s="214">
        <f>'Data entry'!A62</f>
        <v>76</v>
      </c>
      <c r="C13" s="115">
        <f>'Data entry'!B62</f>
        <v>60</v>
      </c>
      <c r="D13" s="161" t="s">
        <v>1116</v>
      </c>
      <c r="E13" s="2" t="str">
        <f>'Data entry'!D62</f>
        <v>Cane</v>
      </c>
      <c r="F13" s="112">
        <f>'Data entry'!E62</f>
        <v>55000</v>
      </c>
      <c r="G13" s="112">
        <f>'Data entry'!F62</f>
        <v>35000</v>
      </c>
      <c r="H13" s="112">
        <f>'Data entry'!G62</f>
        <v>20000</v>
      </c>
      <c r="I13" s="200">
        <f>'Data entry'!H62</f>
        <v>0.36363636363636365</v>
      </c>
      <c r="J13" s="3" t="str">
        <f>'Data entry'!I62</f>
        <v>Shielded Sprayer</v>
      </c>
      <c r="K13" s="2" t="str">
        <f>'Data entry'!J62</f>
        <v>Lot number removed</v>
      </c>
      <c r="L13" s="2">
        <f>'Data entry'!K62</f>
        <v>0</v>
      </c>
      <c r="M13" s="556" t="str">
        <f>'Data entry'!T62</f>
        <v>Pesticide - if no information in scoresheet about potential reduction, then assume 25 % reduction. reduce atrazine and diuron to zero</v>
      </c>
      <c r="N13" s="33">
        <f>'Data entry'!L62</f>
        <v>0</v>
      </c>
      <c r="O13" s="33">
        <f>'Data entry'!M62</f>
        <v>0</v>
      </c>
      <c r="P13" s="33">
        <f>'Data entry'!N62</f>
        <v>3</v>
      </c>
      <c r="Q13" s="33">
        <f>'Data entry'!O62</f>
        <v>5</v>
      </c>
      <c r="R13" s="33">
        <f>'Data entry'!P62</f>
        <v>0</v>
      </c>
      <c r="S13" s="454">
        <f>'current bses'!AA62</f>
        <v>6.25</v>
      </c>
      <c r="T13" s="92"/>
      <c r="U13" s="34" t="str">
        <f>'Data entry'!I62</f>
        <v>Shielded Sprayer</v>
      </c>
      <c r="V13" s="34">
        <f>'Data entry'!AD62</f>
        <v>195</v>
      </c>
      <c r="W13" s="34">
        <f>'Data entry'!AF62*$V13</f>
        <v>429.00000000000006</v>
      </c>
      <c r="X13" s="34">
        <f>'Data entry'!AG62*$V13</f>
        <v>117</v>
      </c>
      <c r="Y13" s="34">
        <f>'Data entry'!AH62*$V13</f>
        <v>273</v>
      </c>
      <c r="Z13" s="93">
        <f>'Data entry'!AO62*$V13</f>
        <v>429.00000000000006</v>
      </c>
      <c r="AA13" s="93">
        <f>'Data entry'!AP62*$V13</f>
        <v>117</v>
      </c>
      <c r="AB13" s="93">
        <f>'Data entry'!AQ62*$V13</f>
        <v>0</v>
      </c>
      <c r="AC13" s="43">
        <f t="shared" si="0"/>
        <v>2.036812770935114</v>
      </c>
      <c r="AD13" s="43">
        <f t="shared" si="0"/>
        <v>2.20709939148073</v>
      </c>
      <c r="AE13" s="43">
        <f>AB13*0.625*AE$6</f>
        <v>0</v>
      </c>
      <c r="AF13" s="39">
        <v>2.5</v>
      </c>
      <c r="AG13" s="40">
        <v>1</v>
      </c>
      <c r="AH13" s="38">
        <f aca="true" t="shared" si="4" ref="AH13:AH20">(AC13+AD13+AE13)*AF13*AG13</f>
        <v>10.609780406039611</v>
      </c>
      <c r="AI13" s="91">
        <v>21799.5</v>
      </c>
      <c r="AJ13" s="91">
        <v>3697.5</v>
      </c>
      <c r="AK13" s="91">
        <v>6176</v>
      </c>
      <c r="AL13" s="562">
        <f t="shared" si="1"/>
        <v>0.00023358480365778044</v>
      </c>
      <c r="AM13" s="562">
        <f t="shared" si="1"/>
        <v>0.001492291677809824</v>
      </c>
      <c r="AN13" s="562">
        <f t="shared" si="1"/>
        <v>0</v>
      </c>
      <c r="AO13" s="94">
        <f>SUM(AL13:AN13)</f>
        <v>0.0017258764814676046</v>
      </c>
      <c r="AP13" s="43">
        <f>'Verification score'!M62</f>
        <v>0.5028333333333334</v>
      </c>
      <c r="AQ13" s="107">
        <f>'Data entry'!$AU$3</f>
        <v>0.1</v>
      </c>
      <c r="AR13" s="43">
        <f>'future bses'!AI62</f>
        <v>0.010499999999999999</v>
      </c>
      <c r="AS13" s="107">
        <f>'Data entry'!$AV$3</f>
        <v>0.05</v>
      </c>
      <c r="AT13" s="43">
        <f>AO13*(1+AP13*AQ13)*(1+AR13*AS13)*100</f>
        <v>0.18136109500119363</v>
      </c>
      <c r="AU13" s="44">
        <f>H13</f>
        <v>20000</v>
      </c>
      <c r="AV13">
        <f>AT13/AU13</f>
        <v>9.068054750059682E-06</v>
      </c>
      <c r="BB13" s="43">
        <f t="shared" si="2"/>
        <v>21.450000000000003</v>
      </c>
      <c r="BC13" s="43">
        <f t="shared" si="2"/>
        <v>5.85</v>
      </c>
      <c r="BD13" s="43">
        <f t="shared" si="2"/>
        <v>0</v>
      </c>
      <c r="BE13" s="43">
        <f>BB13/460</f>
        <v>0.0466304347826087</v>
      </c>
      <c r="BF13" s="43">
        <f>BC13/310</f>
        <v>0.018870967741935484</v>
      </c>
      <c r="BG13" s="43">
        <f>BD13/100</f>
        <v>0</v>
      </c>
      <c r="BH13" s="39">
        <v>2.5</v>
      </c>
      <c r="BI13" s="40">
        <v>1</v>
      </c>
      <c r="BJ13" s="91">
        <v>460</v>
      </c>
      <c r="BK13" s="91">
        <v>310</v>
      </c>
      <c r="BL13" s="91">
        <v>100</v>
      </c>
      <c r="BM13" s="562">
        <f t="shared" si="3"/>
        <v>0.11657608695652176</v>
      </c>
      <c r="BN13" s="562">
        <f t="shared" si="3"/>
        <v>0.04717741935483871</v>
      </c>
      <c r="BO13" s="562">
        <f t="shared" si="3"/>
        <v>0</v>
      </c>
      <c r="BP13" s="94">
        <f>SUM(BM13:BO13)</f>
        <v>0.16375350631136049</v>
      </c>
    </row>
    <row r="14" spans="1:68" ht="39.75" customHeight="1">
      <c r="A14">
        <v>65</v>
      </c>
      <c r="B14" s="214" t="str">
        <f>'Data entry'!A65</f>
        <v>80a</v>
      </c>
      <c r="C14" s="115">
        <f>'Data entry'!B65</f>
        <v>63</v>
      </c>
      <c r="D14" s="161" t="s">
        <v>1116</v>
      </c>
      <c r="E14" s="2" t="str">
        <f>'Data entry'!D65</f>
        <v>Cane</v>
      </c>
      <c r="F14" s="112">
        <f>'Data entry'!E65</f>
        <v>6000</v>
      </c>
      <c r="G14" s="112">
        <f>'Data entry'!F65</f>
        <v>2500</v>
      </c>
      <c r="H14" s="112">
        <f>'Data entry'!G65</f>
        <v>3500</v>
      </c>
      <c r="I14" s="200">
        <f>'Data entry'!H65</f>
        <v>0.5833333333333334</v>
      </c>
      <c r="J14" s="3" t="str">
        <f>'Data entry'!I65</f>
        <v>Shielded Sprayer</v>
      </c>
      <c r="K14" s="2" t="str">
        <f>'Data entry'!J65</f>
        <v>Lot number removed</v>
      </c>
      <c r="L14" s="2">
        <f>'Data entry'!K65</f>
        <v>0</v>
      </c>
      <c r="M14" s="556" t="str">
        <f>'Data entry'!T65</f>
        <v>Pesticide - if no information in scoresheet about potential reduction, then assume 25 % reduction</v>
      </c>
      <c r="N14" s="33">
        <f>'Data entry'!L65</f>
        <v>0</v>
      </c>
      <c r="O14" s="33">
        <f>'Data entry'!M65</f>
        <v>0</v>
      </c>
      <c r="P14" s="33">
        <f>'Data entry'!N65</f>
        <v>3</v>
      </c>
      <c r="Q14" s="33">
        <f>'Data entry'!O65</f>
        <v>5</v>
      </c>
      <c r="R14" s="33">
        <f>'Data entry'!P65</f>
        <v>0</v>
      </c>
      <c r="S14" s="454">
        <f>'current bses'!AA65</f>
        <v>7.55</v>
      </c>
      <c r="T14" s="92"/>
      <c r="U14" s="34" t="str">
        <f>'Data entry'!I65</f>
        <v>Shielded Sprayer</v>
      </c>
      <c r="V14" s="34">
        <f>'Data entry'!AD65</f>
        <v>118</v>
      </c>
      <c r="W14" s="34">
        <f>'Data entry'!AF65*$V14</f>
        <v>59</v>
      </c>
      <c r="X14" s="34">
        <f>'Data entry'!AG65*$V14</f>
        <v>29.5</v>
      </c>
      <c r="Y14" s="34">
        <f>'Data entry'!AH65*$V14</f>
        <v>118</v>
      </c>
      <c r="Z14" s="93">
        <f>W14*'Data entry'!BE65</f>
        <v>44.25</v>
      </c>
      <c r="AA14" s="93">
        <f>X14*'Data entry'!BE65</f>
        <v>22.125</v>
      </c>
      <c r="AB14" s="93">
        <f>Y14*'Data entry'!BE65</f>
        <v>88.5</v>
      </c>
      <c r="AC14" s="43">
        <f t="shared" si="0"/>
        <v>0.2100908277712792</v>
      </c>
      <c r="AD14" s="43">
        <f t="shared" si="0"/>
        <v>0.41736815415821504</v>
      </c>
      <c r="AE14" s="43">
        <f>AB14*0.625*AE$6</f>
        <v>0.2239009876943005</v>
      </c>
      <c r="AF14" s="39">
        <v>2.5</v>
      </c>
      <c r="AG14" s="40">
        <v>1</v>
      </c>
      <c r="AH14" s="38">
        <f t="shared" si="4"/>
        <v>2.128399924059487</v>
      </c>
      <c r="AI14" s="91">
        <v>21799.5</v>
      </c>
      <c r="AJ14" s="91">
        <v>3697.5</v>
      </c>
      <c r="AK14" s="91">
        <v>6176</v>
      </c>
      <c r="AL14" s="562">
        <f t="shared" si="1"/>
        <v>2.40935374402256E-05</v>
      </c>
      <c r="AM14" s="562">
        <f t="shared" si="1"/>
        <v>0.0002821961826627552</v>
      </c>
      <c r="AN14" s="562">
        <f t="shared" si="1"/>
        <v>9.06334956664105E-05</v>
      </c>
      <c r="AO14" s="94">
        <f>SUM(AL14:AN14)</f>
        <v>0.0003969232157693913</v>
      </c>
      <c r="AP14" s="43">
        <f>'Verification score'!M65</f>
        <v>0.3741666666666667</v>
      </c>
      <c r="AQ14" s="107">
        <f>'Data entry'!$AU$3</f>
        <v>0.1</v>
      </c>
      <c r="AR14" s="43">
        <f>'future bses'!AI65</f>
        <v>0.42375</v>
      </c>
      <c r="AS14" s="107">
        <f>'Data entry'!$AV$3</f>
        <v>0.05</v>
      </c>
      <c r="AT14" s="43">
        <f>AO14*(1+AP14*AQ14)*(1+AR14*AS14)*100</f>
        <v>0.042049923714143636</v>
      </c>
      <c r="AU14" s="44">
        <f>H14</f>
        <v>3500</v>
      </c>
      <c r="AV14">
        <f>AT14/AU14</f>
        <v>1.2014263918326753E-05</v>
      </c>
      <c r="BB14" s="43">
        <f t="shared" si="2"/>
        <v>2.2125</v>
      </c>
      <c r="BC14" s="43">
        <f t="shared" si="2"/>
        <v>1.10625</v>
      </c>
      <c r="BD14" s="43">
        <f t="shared" si="2"/>
        <v>4.425</v>
      </c>
      <c r="BE14" s="43">
        <f>BB14/460</f>
        <v>0.004809782608695652</v>
      </c>
      <c r="BF14" s="43">
        <f>BC14/310</f>
        <v>0.003568548387096774</v>
      </c>
      <c r="BG14" s="43">
        <f>BD14/100</f>
        <v>0.04425</v>
      </c>
      <c r="BH14" s="39">
        <v>2.5</v>
      </c>
      <c r="BI14" s="40">
        <v>1</v>
      </c>
      <c r="BJ14" s="91">
        <v>460</v>
      </c>
      <c r="BK14" s="91">
        <v>310</v>
      </c>
      <c r="BL14" s="91">
        <v>100</v>
      </c>
      <c r="BM14" s="562">
        <f t="shared" si="3"/>
        <v>0.01202445652173913</v>
      </c>
      <c r="BN14" s="562">
        <f t="shared" si="3"/>
        <v>0.008921370967741935</v>
      </c>
      <c r="BO14" s="562">
        <f t="shared" si="3"/>
        <v>0.110625</v>
      </c>
      <c r="BP14" s="94">
        <f>SUM(BM14:BO14)</f>
        <v>0.13157082748948107</v>
      </c>
    </row>
    <row r="15" spans="1:68" ht="39.75" customHeight="1">
      <c r="A15">
        <v>83</v>
      </c>
      <c r="B15" s="214">
        <f>'Data entry'!A83</f>
        <v>102</v>
      </c>
      <c r="C15" s="115">
        <f>'Data entry'!B83</f>
        <v>81</v>
      </c>
      <c r="D15" s="161" t="s">
        <v>1116</v>
      </c>
      <c r="E15" s="2" t="str">
        <f>'Data entry'!D83</f>
        <v>Cane</v>
      </c>
      <c r="F15" s="112">
        <f>'Data entry'!E83</f>
        <v>16000</v>
      </c>
      <c r="G15" s="112">
        <f>'Data entry'!F83</f>
        <v>5000</v>
      </c>
      <c r="H15" s="112">
        <f>'Data entry'!G83</f>
        <v>11000</v>
      </c>
      <c r="I15" s="200">
        <f>'Data entry'!H83</f>
        <v>0.6875</v>
      </c>
      <c r="J15" s="3" t="str">
        <f>'Data entry'!I83</f>
        <v>Shielded Sprayer</v>
      </c>
      <c r="K15" s="2" t="str">
        <f>'Data entry'!J83</f>
        <v>No lot number supplied</v>
      </c>
      <c r="L15" s="2">
        <f>'Data entry'!K83</f>
        <v>0</v>
      </c>
      <c r="M15" s="556" t="str">
        <f>'Data entry'!T83</f>
        <v>curernt info in score sheet reduce to zero  </v>
      </c>
      <c r="N15" s="2">
        <f>'Data entry'!L83</f>
        <v>0</v>
      </c>
      <c r="O15" s="2">
        <f>'Data entry'!M83</f>
        <v>0</v>
      </c>
      <c r="P15" s="2">
        <f>'Data entry'!N83</f>
        <v>3</v>
      </c>
      <c r="Q15" s="2">
        <f>'Data entry'!O83</f>
        <v>5</v>
      </c>
      <c r="R15" s="2">
        <f>'Data entry'!P83</f>
        <v>1</v>
      </c>
      <c r="S15" s="454">
        <f>'current bses'!AA83</f>
        <v>5.55</v>
      </c>
      <c r="T15" s="2"/>
      <c r="U15" s="2" t="str">
        <f>'Data entry'!I83</f>
        <v>Shielded Sprayer</v>
      </c>
      <c r="V15" s="34">
        <f>'Data entry'!AD83</f>
        <v>160</v>
      </c>
      <c r="W15" s="34">
        <f>'Data entry'!AF83*$V15</f>
        <v>0</v>
      </c>
      <c r="X15" s="34">
        <f>'Data entry'!AG83*$V15</f>
        <v>352</v>
      </c>
      <c r="Y15" s="34">
        <f>'Data entry'!AH83*$V15</f>
        <v>160</v>
      </c>
      <c r="Z15" s="93">
        <f>W15*'Data entry'!BE83</f>
        <v>0</v>
      </c>
      <c r="AA15" s="93">
        <f>X15*'Data entry'!BE83</f>
        <v>299.2</v>
      </c>
      <c r="AB15" s="93">
        <f>Y15*'Data entry'!BE83</f>
        <v>136</v>
      </c>
      <c r="AC15" s="43">
        <f t="shared" si="0"/>
        <v>0</v>
      </c>
      <c r="AD15" s="43">
        <f t="shared" si="0"/>
        <v>5.644137931034482</v>
      </c>
      <c r="AE15" s="43">
        <f>AB15*0.625*AE$6</f>
        <v>0.34407383419689114</v>
      </c>
      <c r="AF15" s="39">
        <v>2.5</v>
      </c>
      <c r="AG15" s="40">
        <v>1</v>
      </c>
      <c r="AH15" s="38">
        <f t="shared" si="4"/>
        <v>14.970529413078433</v>
      </c>
      <c r="AI15" s="91">
        <v>21799.5</v>
      </c>
      <c r="AJ15" s="91">
        <v>3697.5</v>
      </c>
      <c r="AK15" s="91">
        <v>6176</v>
      </c>
      <c r="AL15" s="562">
        <f t="shared" si="1"/>
        <v>0</v>
      </c>
      <c r="AM15" s="562">
        <f t="shared" si="1"/>
        <v>0.0038161852136811914</v>
      </c>
      <c r="AN15" s="562">
        <f t="shared" si="1"/>
        <v>0.00013927859221052913</v>
      </c>
      <c r="AO15" s="94">
        <f>SUM(AL15:AN15)</f>
        <v>0.003955463805891721</v>
      </c>
      <c r="AP15" s="43">
        <f>'Verification score'!M83</f>
        <v>0.61125</v>
      </c>
      <c r="AQ15" s="107">
        <f>'Data entry'!$AU$3</f>
        <v>0.1</v>
      </c>
      <c r="AR15" s="43">
        <f>'future bses'!AI83</f>
        <v>0.07500000000000001</v>
      </c>
      <c r="AS15" s="107">
        <f>'Data entry'!$AV$3</f>
        <v>0.05</v>
      </c>
      <c r="AT15" s="43">
        <f>AO15*(1+AP15*AQ15)*(1+AR15*AS15)*100</f>
        <v>0.42129811867682027</v>
      </c>
      <c r="AU15" s="44">
        <f>H15</f>
        <v>11000</v>
      </c>
      <c r="AV15">
        <f>AT15/AU15</f>
        <v>3.829982897062003E-05</v>
      </c>
      <c r="BB15" s="43">
        <f t="shared" si="2"/>
        <v>0</v>
      </c>
      <c r="BC15" s="43">
        <f t="shared" si="2"/>
        <v>14.959999999999999</v>
      </c>
      <c r="BD15" s="43">
        <f t="shared" si="2"/>
        <v>6.8</v>
      </c>
      <c r="BE15" s="43">
        <f>BB15/460</f>
        <v>0</v>
      </c>
      <c r="BF15" s="43">
        <f>BC15/310</f>
        <v>0.04825806451612903</v>
      </c>
      <c r="BG15" s="43">
        <f>BD15/100</f>
        <v>0.068</v>
      </c>
      <c r="BH15" s="39">
        <v>2.5</v>
      </c>
      <c r="BI15" s="40">
        <v>1</v>
      </c>
      <c r="BJ15" s="91">
        <v>460</v>
      </c>
      <c r="BK15" s="91">
        <v>310</v>
      </c>
      <c r="BL15" s="91">
        <v>100</v>
      </c>
      <c r="BM15" s="562">
        <f t="shared" si="3"/>
        <v>0</v>
      </c>
      <c r="BN15" s="562">
        <f t="shared" si="3"/>
        <v>0.12064516129032257</v>
      </c>
      <c r="BO15" s="562">
        <f t="shared" si="3"/>
        <v>0.17</v>
      </c>
      <c r="BP15" s="94">
        <f>SUM(BM15:BO15)</f>
        <v>0.2906451612903226</v>
      </c>
    </row>
    <row r="16" spans="1:68" ht="39.75" customHeight="1">
      <c r="A16">
        <v>86</v>
      </c>
      <c r="B16" s="214" t="str">
        <f>'Data entry'!A86</f>
        <v>105b</v>
      </c>
      <c r="C16" s="115">
        <f>'Data entry'!B86</f>
        <v>84</v>
      </c>
      <c r="D16" s="161" t="s">
        <v>1116</v>
      </c>
      <c r="E16" s="2" t="str">
        <f>'Data entry'!D86</f>
        <v>Cane</v>
      </c>
      <c r="F16" s="112">
        <f>'Data entry'!E86</f>
        <v>16000</v>
      </c>
      <c r="G16" s="112">
        <f>'Data entry'!F86</f>
        <v>5000</v>
      </c>
      <c r="H16" s="112">
        <f>'Data entry'!G86</f>
        <v>11000</v>
      </c>
      <c r="I16" s="200">
        <f>'Data entry'!H86</f>
        <v>0.6875</v>
      </c>
      <c r="J16" s="3" t="str">
        <f>'Data entry'!I86</f>
        <v>shielded sprayer</v>
      </c>
      <c r="K16" s="2" t="str">
        <f>'Data entry'!J86</f>
        <v>No lot number supplied</v>
      </c>
      <c r="L16" s="2">
        <f>'Data entry'!K86</f>
        <v>0</v>
      </c>
      <c r="M16" s="556" t="str">
        <f>'Data entry'!T86</f>
        <v>Pesticide - if no information in scoresheet about potential reduction, then assume 25 % reduction - have values</v>
      </c>
      <c r="N16" s="33">
        <f>'Data entry'!L86</f>
        <v>0</v>
      </c>
      <c r="O16" s="33">
        <f>'Data entry'!M86</f>
        <v>0</v>
      </c>
      <c r="P16" s="33">
        <f>'Data entry'!N86</f>
        <v>3</v>
      </c>
      <c r="Q16" s="33">
        <f>'Data entry'!O86</f>
        <v>5</v>
      </c>
      <c r="R16" s="33">
        <f>'Data entry'!P86</f>
        <v>0.2</v>
      </c>
      <c r="S16" s="454">
        <f>'current bses'!AA86</f>
        <v>10</v>
      </c>
      <c r="T16" s="92"/>
      <c r="U16" s="34" t="str">
        <f>'Data entry'!I86</f>
        <v>shielded sprayer</v>
      </c>
      <c r="V16" s="34">
        <f>'Data entry'!AD86</f>
        <v>105</v>
      </c>
      <c r="W16" s="34">
        <f>'Data entry'!AF86*$V16</f>
        <v>0</v>
      </c>
      <c r="X16" s="34">
        <f>'Data entry'!AG86*$V16</f>
        <v>0</v>
      </c>
      <c r="Y16" s="34">
        <f>'Data entry'!AH86*$V16</f>
        <v>105</v>
      </c>
      <c r="Z16" s="93">
        <f>'Data entry'!AO86*$V16</f>
        <v>0</v>
      </c>
      <c r="AA16" s="93">
        <f>'Data entry'!AP86*$V16</f>
        <v>0</v>
      </c>
      <c r="AB16" s="93">
        <f>'Data entry'!AQ86*$V16</f>
        <v>105</v>
      </c>
      <c r="AC16" s="43">
        <f t="shared" si="0"/>
        <v>0</v>
      </c>
      <c r="AD16" s="43">
        <f t="shared" si="0"/>
        <v>0</v>
      </c>
      <c r="AE16" s="43">
        <f>AB16*0.625*AE$6</f>
        <v>0.2656452396373057</v>
      </c>
      <c r="AF16" s="39">
        <v>2.5</v>
      </c>
      <c r="AG16" s="40">
        <v>1</v>
      </c>
      <c r="AH16" s="38">
        <f t="shared" si="4"/>
        <v>0.6641130990932642</v>
      </c>
      <c r="AI16" s="91">
        <v>21799.5</v>
      </c>
      <c r="AJ16" s="91">
        <v>3697.5</v>
      </c>
      <c r="AK16" s="91">
        <v>6176</v>
      </c>
      <c r="AL16" s="562">
        <f t="shared" si="1"/>
        <v>0</v>
      </c>
      <c r="AM16" s="562">
        <f t="shared" si="1"/>
        <v>0</v>
      </c>
      <c r="AN16" s="562">
        <f t="shared" si="1"/>
        <v>0.00010753126604489382</v>
      </c>
      <c r="AO16" s="94">
        <f>SUM(AL16:AN16)</f>
        <v>0.00010753126604489382</v>
      </c>
      <c r="AP16" s="43">
        <f>'Verification score'!M86</f>
        <v>0.3279166666666667</v>
      </c>
      <c r="AQ16" s="107">
        <f>'Data entry'!$AU$3</f>
        <v>0.1</v>
      </c>
      <c r="AR16" s="43">
        <f>'future bses'!AI86</f>
        <v>0.38550000000000006</v>
      </c>
      <c r="AS16" s="107">
        <f>'Data entry'!$AV$3</f>
        <v>0.05</v>
      </c>
      <c r="AT16" s="43">
        <f>AO16*(1+AP16*AQ16)*(1+AR16*AS16)*100</f>
        <v>0.011319802677510727</v>
      </c>
      <c r="AU16" s="44">
        <f>H16</f>
        <v>11000</v>
      </c>
      <c r="AV16">
        <f>AT16/AU16</f>
        <v>1.0290729706827933E-06</v>
      </c>
      <c r="BB16" s="43">
        <f t="shared" si="2"/>
        <v>0</v>
      </c>
      <c r="BC16" s="43">
        <f t="shared" si="2"/>
        <v>0</v>
      </c>
      <c r="BD16" s="43">
        <f t="shared" si="2"/>
        <v>5.25</v>
      </c>
      <c r="BE16" s="43">
        <f>BB16/460</f>
        <v>0</v>
      </c>
      <c r="BF16" s="43">
        <f>BC16/310</f>
        <v>0</v>
      </c>
      <c r="BG16" s="43">
        <f>BD16/100</f>
        <v>0.0525</v>
      </c>
      <c r="BH16" s="39">
        <v>2.5</v>
      </c>
      <c r="BI16" s="40">
        <v>1</v>
      </c>
      <c r="BJ16" s="91">
        <v>460</v>
      </c>
      <c r="BK16" s="91">
        <v>310</v>
      </c>
      <c r="BL16" s="91">
        <v>100</v>
      </c>
      <c r="BM16" s="562">
        <f t="shared" si="3"/>
        <v>0</v>
      </c>
      <c r="BN16" s="562">
        <f t="shared" si="3"/>
        <v>0</v>
      </c>
      <c r="BO16" s="562">
        <f t="shared" si="3"/>
        <v>0.13125</v>
      </c>
      <c r="BP16" s="94">
        <f>SUM(BM16:BO16)</f>
        <v>0.13125</v>
      </c>
    </row>
    <row r="17" spans="2:68" s="51" customFormat="1" ht="24.75" customHeight="1">
      <c r="B17" s="578"/>
      <c r="C17" s="283"/>
      <c r="D17" s="786"/>
      <c r="F17" s="592"/>
      <c r="G17" s="592"/>
      <c r="H17" s="592"/>
      <c r="I17" s="593"/>
      <c r="M17" s="72"/>
      <c r="N17" s="30"/>
      <c r="O17" s="30"/>
      <c r="P17" s="30"/>
      <c r="Q17" s="30"/>
      <c r="R17" s="30"/>
      <c r="S17" s="579"/>
      <c r="T17" s="579"/>
      <c r="U17" s="282"/>
      <c r="V17" s="282"/>
      <c r="W17" s="282"/>
      <c r="X17" s="282"/>
      <c r="Y17" s="282"/>
      <c r="Z17" s="282"/>
      <c r="AA17" s="282"/>
      <c r="AB17" s="282"/>
      <c r="AC17" s="72"/>
      <c r="AD17" s="72"/>
      <c r="AE17" s="72"/>
      <c r="AF17" s="30"/>
      <c r="AG17" s="30"/>
      <c r="AH17" s="30"/>
      <c r="AI17" s="594"/>
      <c r="AJ17" s="594"/>
      <c r="AK17" s="594"/>
      <c r="AL17" s="595"/>
      <c r="AM17" s="595"/>
      <c r="AN17" s="595"/>
      <c r="AO17" s="72"/>
      <c r="AP17" s="72"/>
      <c r="AQ17" s="72"/>
      <c r="AR17" s="72"/>
      <c r="AS17" s="72"/>
      <c r="AT17" s="72"/>
      <c r="AU17" s="72"/>
      <c r="BB17" s="72"/>
      <c r="BC17" s="72"/>
      <c r="BD17" s="72"/>
      <c r="BE17" s="72"/>
      <c r="BF17" s="72"/>
      <c r="BG17" s="72"/>
      <c r="BH17" s="30"/>
      <c r="BI17" s="30"/>
      <c r="BJ17" s="594"/>
      <c r="BK17" s="594"/>
      <c r="BL17" s="594"/>
      <c r="BM17" s="595"/>
      <c r="BN17" s="595"/>
      <c r="BO17" s="595"/>
      <c r="BP17" s="72"/>
    </row>
    <row r="18" spans="1:68" ht="12.75">
      <c r="A18" s="553">
        <f>'Recycle pits'!B12</f>
        <v>3</v>
      </c>
      <c r="B18" s="591">
        <f>'Data entry'!A3</f>
        <v>1</v>
      </c>
      <c r="C18" s="591">
        <f>'Data entry'!B3</f>
        <v>1</v>
      </c>
      <c r="D18" s="161" t="s">
        <v>1116</v>
      </c>
      <c r="E18" s="591" t="str">
        <f>'Data entry'!D3</f>
        <v>Cane </v>
      </c>
      <c r="F18" s="601">
        <f>'Data entry'!E3</f>
        <v>16000</v>
      </c>
      <c r="G18" s="601">
        <f>'Data entry'!F3</f>
        <v>8000</v>
      </c>
      <c r="H18" s="601">
        <f>'Data entry'!G3</f>
        <v>8000</v>
      </c>
      <c r="I18" s="602">
        <f>'Data entry'!H3</f>
        <v>0.5</v>
      </c>
      <c r="J18" s="602" t="str">
        <f>'Data entry'!I3</f>
        <v>Recycle pit</v>
      </c>
      <c r="K18" s="603" t="str">
        <f>'Data entry'!J3</f>
        <v>Lot number removed</v>
      </c>
      <c r="L18" s="603" t="str">
        <f>'Data entry'!K3</f>
        <v>Ayr</v>
      </c>
      <c r="M18" s="590" t="s">
        <v>528</v>
      </c>
      <c r="N18" s="589">
        <f>'Data entry'!L3</f>
        <v>0</v>
      </c>
      <c r="O18" s="589">
        <f>'Data entry'!M3</f>
        <v>0</v>
      </c>
      <c r="P18" s="589">
        <f>'Data entry'!N3</f>
        <v>3</v>
      </c>
      <c r="Q18" s="589">
        <f>'Data entry'!O3</f>
        <v>5</v>
      </c>
      <c r="R18" s="589">
        <f>'Data entry'!P3</f>
        <v>0</v>
      </c>
      <c r="S18" s="500">
        <f>'current bses'!AA3</f>
        <v>7.4</v>
      </c>
      <c r="T18" s="589">
        <f>'future bses'!AA3</f>
        <v>5.15</v>
      </c>
      <c r="U18" s="589" t="s">
        <v>528</v>
      </c>
      <c r="V18" s="589">
        <f>'Data entry'!AD3</f>
        <v>134</v>
      </c>
      <c r="W18" s="589">
        <f>'Data entry'!AF3</f>
        <v>0.5</v>
      </c>
      <c r="X18" s="589">
        <f>'Data entry'!AG3</f>
        <v>0</v>
      </c>
      <c r="Y18" s="589">
        <f>'Data entry'!AH3</f>
        <v>0.7</v>
      </c>
      <c r="Z18" s="502">
        <f>'Data entry'!AO3*'Pesticide management'!V18</f>
        <v>67</v>
      </c>
      <c r="AA18" s="502">
        <f>'Data entry'!AP3</f>
        <v>0</v>
      </c>
      <c r="AB18" s="502">
        <f>'Data entry'!AQ3</f>
        <v>0</v>
      </c>
      <c r="AC18" s="43">
        <f aca="true" t="shared" si="5" ref="AC18:AD20">Z18*0.9*AC$6</f>
        <v>0.31810362622995947</v>
      </c>
      <c r="AD18" s="43">
        <f t="shared" si="5"/>
        <v>0</v>
      </c>
      <c r="AE18" s="43">
        <f>AB18*0.625*AE$6</f>
        <v>0</v>
      </c>
      <c r="AF18" s="39">
        <v>2.5</v>
      </c>
      <c r="AG18" s="40">
        <v>1</v>
      </c>
      <c r="AH18" s="38">
        <f t="shared" si="4"/>
        <v>0.7952590655748987</v>
      </c>
      <c r="AI18" s="91">
        <v>21799.5</v>
      </c>
      <c r="AJ18" s="91">
        <v>3697.5</v>
      </c>
      <c r="AK18" s="91">
        <v>6176</v>
      </c>
      <c r="AL18" s="562">
        <f aca="true" t="shared" si="6" ref="AL18:AN20">AC18*$AF18*$AG18/AI18</f>
        <v>3.648061036147153E-05</v>
      </c>
      <c r="AM18" s="562">
        <f t="shared" si="6"/>
        <v>0</v>
      </c>
      <c r="AN18" s="562">
        <f t="shared" si="6"/>
        <v>0</v>
      </c>
      <c r="AO18" s="94">
        <f>SUM(AL18:AN18)</f>
        <v>3.648061036147153E-05</v>
      </c>
      <c r="AP18" s="43">
        <f>'Verification score'!M87</f>
        <v>0.3279166666666667</v>
      </c>
      <c r="AQ18" s="107">
        <f>'Data entry'!$AU$3</f>
        <v>0.1</v>
      </c>
      <c r="AR18" s="43">
        <f>'future bses'!AI87</f>
        <v>0.4764285714285714</v>
      </c>
      <c r="AS18" s="107">
        <f>'Data entry'!$AV$3</f>
        <v>0.05</v>
      </c>
      <c r="AT18" s="43">
        <f>AO18*(1+AP18*AQ18)*(1+AR18*AS18)*100</f>
        <v>0.0038574387252704066</v>
      </c>
      <c r="AU18" s="44">
        <f>H18</f>
        <v>8000</v>
      </c>
      <c r="AV18">
        <f>AT18/AU18</f>
        <v>4.821798406588008E-07</v>
      </c>
      <c r="BB18" s="82"/>
      <c r="BC18" s="82"/>
      <c r="BD18" s="82"/>
      <c r="BE18" s="82"/>
      <c r="BF18" s="82"/>
      <c r="BG18" s="82"/>
      <c r="BH18" s="82"/>
      <c r="BI18" s="82"/>
      <c r="BJ18" s="82"/>
      <c r="BK18" s="82"/>
      <c r="BL18" s="82"/>
      <c r="BM18" s="82"/>
      <c r="BN18" s="82"/>
      <c r="BO18" s="82"/>
      <c r="BP18" s="82"/>
    </row>
    <row r="19" spans="1:68" ht="12.75">
      <c r="A19" s="82"/>
      <c r="B19" s="214">
        <f>'Data entry'!A49</f>
        <v>59</v>
      </c>
      <c r="C19" s="214">
        <f>'Data entry'!B49</f>
        <v>47</v>
      </c>
      <c r="D19" s="161" t="s">
        <v>1116</v>
      </c>
      <c r="E19" s="214" t="str">
        <f>'Data entry'!D49</f>
        <v>Cane</v>
      </c>
      <c r="F19" s="250">
        <f>'Data entry'!E49</f>
        <v>20000</v>
      </c>
      <c r="G19" s="250">
        <f>'Data entry'!F49</f>
        <v>10000</v>
      </c>
      <c r="H19" s="250">
        <f>'Data entry'!G49</f>
        <v>10000</v>
      </c>
      <c r="I19" s="216">
        <f>'Data entry'!H49</f>
        <v>0.5</v>
      </c>
      <c r="J19" s="250" t="str">
        <f>'Data entry'!I49</f>
        <v>Stool Splitter</v>
      </c>
      <c r="K19" s="214" t="str">
        <f>'Data entry'!J49</f>
        <v>Lot number removed</v>
      </c>
      <c r="L19" s="214" t="str">
        <f>'Data entry'!K49</f>
        <v>Ayr</v>
      </c>
      <c r="M19" s="589" t="s">
        <v>528</v>
      </c>
      <c r="N19" s="589">
        <f>'Data entry'!L49</f>
        <v>0</v>
      </c>
      <c r="O19" s="589">
        <f>'Data entry'!M49</f>
        <v>0</v>
      </c>
      <c r="P19" s="589">
        <f>'Data entry'!N49</f>
        <v>3</v>
      </c>
      <c r="Q19" s="589">
        <f>'Data entry'!O49</f>
        <v>5</v>
      </c>
      <c r="R19" s="589">
        <f>'Data entry'!P49</f>
        <v>0</v>
      </c>
      <c r="S19" s="500">
        <f>'current bses'!AA49</f>
        <v>8.5</v>
      </c>
      <c r="T19" s="589">
        <f>'future bses'!AA49</f>
        <v>5</v>
      </c>
      <c r="U19" s="589" t="s">
        <v>528</v>
      </c>
      <c r="V19" s="589">
        <f>'Data entry'!AD49</f>
        <v>125</v>
      </c>
      <c r="W19" s="589">
        <f>'Data entry'!AF49</f>
        <v>0.5</v>
      </c>
      <c r="X19" s="589">
        <f>'Data entry'!AG49</f>
        <v>0</v>
      </c>
      <c r="Y19" s="589">
        <f>'Data entry'!AH49</f>
        <v>0.75</v>
      </c>
      <c r="Z19" s="500">
        <f>W19*V19</f>
        <v>62.5</v>
      </c>
      <c r="AA19" s="502">
        <f>'Data entry'!AP4</f>
        <v>0</v>
      </c>
      <c r="AB19" s="502">
        <f>'Data entry'!AQ4</f>
        <v>0</v>
      </c>
      <c r="AC19" s="43">
        <f t="shared" si="5"/>
        <v>0.2967384573040666</v>
      </c>
      <c r="AD19" s="43">
        <f t="shared" si="5"/>
        <v>0</v>
      </c>
      <c r="AE19" s="43">
        <f>AB19*0.625*AE$6</f>
        <v>0</v>
      </c>
      <c r="AF19" s="39">
        <v>2.5</v>
      </c>
      <c r="AG19" s="40">
        <v>1</v>
      </c>
      <c r="AH19" s="38">
        <f t="shared" si="4"/>
        <v>0.7418461432601665</v>
      </c>
      <c r="AI19" s="91">
        <v>21799.5</v>
      </c>
      <c r="AJ19" s="91">
        <v>3697.5</v>
      </c>
      <c r="AK19" s="91">
        <v>6176</v>
      </c>
      <c r="AL19" s="562">
        <f t="shared" si="6"/>
        <v>3.403042011331299E-05</v>
      </c>
      <c r="AM19" s="562">
        <f t="shared" si="6"/>
        <v>0</v>
      </c>
      <c r="AN19" s="562">
        <f t="shared" si="6"/>
        <v>0</v>
      </c>
      <c r="AO19" s="94">
        <f>SUM(AL19:AN19)</f>
        <v>3.403042011331299E-05</v>
      </c>
      <c r="AP19" s="43">
        <f>'Verification score'!M88</f>
        <v>0.7404166666666666</v>
      </c>
      <c r="AQ19" s="107">
        <f>'Data entry'!$AU$3</f>
        <v>0.1</v>
      </c>
      <c r="AR19" s="43">
        <f>'future bses'!AI88</f>
        <v>0.012604166666666666</v>
      </c>
      <c r="AS19" s="107">
        <f>'Data entry'!$AV$3</f>
        <v>0.05</v>
      </c>
      <c r="AT19" s="43">
        <f>AO19*(1+AP19*AQ19)*(1+AR19*AS19)*100</f>
        <v>0.003657312330662704</v>
      </c>
      <c r="BB19" s="82"/>
      <c r="BC19" s="82"/>
      <c r="BD19" s="82"/>
      <c r="BE19" s="82"/>
      <c r="BF19" s="82"/>
      <c r="BG19" s="82"/>
      <c r="BH19" s="82"/>
      <c r="BI19" s="82"/>
      <c r="BJ19" s="82"/>
      <c r="BK19" s="82"/>
      <c r="BL19" s="82"/>
      <c r="BM19" s="82"/>
      <c r="BN19" s="82"/>
      <c r="BO19" s="82"/>
      <c r="BP19" s="82"/>
    </row>
    <row r="20" spans="1:68" ht="12.75">
      <c r="A20" s="82"/>
      <c r="B20" s="591">
        <f>'Data entry'!A67</f>
        <v>82</v>
      </c>
      <c r="C20" s="591">
        <f>'Data entry'!B67</f>
        <v>65</v>
      </c>
      <c r="D20" s="161" t="s">
        <v>1116</v>
      </c>
      <c r="E20" s="591" t="str">
        <f>'Data entry'!D67</f>
        <v>Cane</v>
      </c>
      <c r="F20" s="601">
        <f>'Data entry'!E67</f>
        <v>275000</v>
      </c>
      <c r="G20" s="601">
        <f>'Data entry'!F67</f>
        <v>225000</v>
      </c>
      <c r="H20" s="601">
        <f>'Data entry'!G67</f>
        <v>50000</v>
      </c>
      <c r="I20" s="602">
        <f>'Data entry'!H67</f>
        <v>0.18181818181818182</v>
      </c>
      <c r="J20" s="601" t="str">
        <f>'Data entry'!I67</f>
        <v>Lateral move irrigator</v>
      </c>
      <c r="K20" s="591" t="str">
        <f>'Data entry'!J67</f>
        <v>Lot number removed</v>
      </c>
      <c r="L20" s="591">
        <f>'Data entry'!K67</f>
        <v>0</v>
      </c>
      <c r="M20" s="589" t="s">
        <v>529</v>
      </c>
      <c r="N20" s="589">
        <f>'Data entry'!L67</f>
        <v>0</v>
      </c>
      <c r="O20" s="589">
        <f>'Data entry'!M67</f>
        <v>0</v>
      </c>
      <c r="P20" s="589">
        <f>'Data entry'!N67</f>
        <v>3</v>
      </c>
      <c r="Q20" s="589">
        <f>'Data entry'!O67</f>
        <v>6</v>
      </c>
      <c r="R20" s="589">
        <f>'Data entry'!P67</f>
        <v>1</v>
      </c>
      <c r="S20" s="500">
        <f>'current bses'!AA67</f>
        <v>3.85</v>
      </c>
      <c r="T20" s="589">
        <f>'future bses'!AA67</f>
        <v>5</v>
      </c>
      <c r="U20" s="589" t="str">
        <f>M20</f>
        <v>reduce diuron by 2/3 and atrazine by 1/2</v>
      </c>
      <c r="V20" s="589">
        <f>'Data entry'!AD67</f>
        <v>45</v>
      </c>
      <c r="W20" s="589">
        <f>'Data entry'!AF67</f>
        <v>3</v>
      </c>
      <c r="X20" s="589">
        <f>'Data entry'!AG67</f>
        <v>1</v>
      </c>
      <c r="Y20" s="589">
        <f>'Data entry'!AH67</f>
        <v>1</v>
      </c>
      <c r="Z20" s="500">
        <f>W20*0.5*V20</f>
        <v>67.5</v>
      </c>
      <c r="AA20" s="502">
        <f>X20*(2/3)*V20</f>
        <v>30</v>
      </c>
      <c r="AB20" s="500">
        <v>0</v>
      </c>
      <c r="AC20" s="43">
        <f t="shared" si="5"/>
        <v>0.32047753388839195</v>
      </c>
      <c r="AD20" s="43">
        <f t="shared" si="5"/>
        <v>0.565922920892495</v>
      </c>
      <c r="AE20" s="43">
        <f>AB20*0.625*AE$6</f>
        <v>0</v>
      </c>
      <c r="AF20" s="39">
        <v>2.5</v>
      </c>
      <c r="AG20" s="40">
        <v>1</v>
      </c>
      <c r="AH20" s="38">
        <f t="shared" si="4"/>
        <v>2.2160011369522175</v>
      </c>
      <c r="AI20" s="91">
        <v>21799.5</v>
      </c>
      <c r="AJ20" s="91">
        <v>3697.5</v>
      </c>
      <c r="AK20" s="91">
        <v>6176</v>
      </c>
      <c r="AL20" s="562">
        <f t="shared" si="6"/>
        <v>3.675285372237803E-05</v>
      </c>
      <c r="AM20" s="562">
        <f t="shared" si="6"/>
        <v>0.00038263889174610884</v>
      </c>
      <c r="AN20" s="562">
        <f t="shared" si="6"/>
        <v>0</v>
      </c>
      <c r="AO20" s="94">
        <f>SUM(AL20:AN20)</f>
        <v>0.0004193917454684869</v>
      </c>
      <c r="AP20" s="43">
        <f>'Verification score'!M89</f>
        <v>0.23875333333333332</v>
      </c>
      <c r="AQ20" s="107">
        <f>'Data entry'!$AU$3</f>
        <v>0.1</v>
      </c>
      <c r="AR20" s="43">
        <f>'future bses'!AI89</f>
        <v>0.023928571428571428</v>
      </c>
      <c r="AS20" s="107">
        <f>'Data entry'!$AV$3</f>
        <v>0.05</v>
      </c>
      <c r="AT20" s="43">
        <f>AO20*(1+AP20*AQ20)*(1+AR20*AS20)*100</f>
        <v>0.042991861543582484</v>
      </c>
      <c r="BB20" s="82"/>
      <c r="BC20" s="82"/>
      <c r="BD20" s="82"/>
      <c r="BE20" s="82"/>
      <c r="BF20" s="82"/>
      <c r="BG20" s="82"/>
      <c r="BH20" s="82"/>
      <c r="BI20" s="82"/>
      <c r="BJ20" s="82"/>
      <c r="BK20" s="82"/>
      <c r="BL20" s="82"/>
      <c r="BM20" s="82"/>
      <c r="BN20" s="82"/>
      <c r="BO20" s="82"/>
      <c r="BP20" s="82"/>
    </row>
    <row r="21" spans="1:68" ht="12.75">
      <c r="A21" s="82"/>
      <c r="B21" s="82"/>
      <c r="C21" s="82"/>
      <c r="D21" s="82"/>
      <c r="E21" s="82"/>
      <c r="F21" s="82"/>
      <c r="G21" s="82"/>
      <c r="H21" s="82"/>
      <c r="I21" s="82"/>
      <c r="J21" s="82"/>
      <c r="K21" s="82"/>
      <c r="L21" s="82"/>
      <c r="M21" s="82"/>
      <c r="N21" s="82"/>
      <c r="O21" s="82"/>
      <c r="P21" s="82"/>
      <c r="Q21" s="82"/>
      <c r="R21" s="82"/>
      <c r="S21" s="82"/>
      <c r="T21" s="82"/>
      <c r="U21" s="82"/>
      <c r="V21" s="82"/>
      <c r="W21" s="82"/>
      <c r="X21" s="82"/>
      <c r="Y21" s="82"/>
      <c r="Z21" s="82"/>
      <c r="AA21" s="82"/>
      <c r="AB21" s="82"/>
      <c r="AC21" s="82"/>
      <c r="AD21" s="82"/>
      <c r="AE21" s="82"/>
      <c r="AF21" s="82"/>
      <c r="AG21" s="82"/>
      <c r="AH21" s="82"/>
      <c r="AI21" s="82"/>
      <c r="AJ21" s="82"/>
      <c r="AK21" s="82"/>
      <c r="AL21" s="82"/>
      <c r="AM21" s="82"/>
      <c r="AN21" s="82"/>
      <c r="AO21" s="82"/>
      <c r="AP21" s="82"/>
      <c r="AQ21" s="82"/>
      <c r="AR21" s="82"/>
      <c r="AS21" s="82"/>
      <c r="BB21" s="82"/>
      <c r="BC21" s="82"/>
      <c r="BD21" s="82"/>
      <c r="BE21" s="82"/>
      <c r="BF21" s="82"/>
      <c r="BG21" s="82"/>
      <c r="BH21" s="82"/>
      <c r="BI21" s="82"/>
      <c r="BJ21" s="82"/>
      <c r="BK21" s="82"/>
      <c r="BL21" s="82"/>
      <c r="BM21" s="82"/>
      <c r="BN21" s="82"/>
      <c r="BO21" s="82"/>
      <c r="BP21" s="82"/>
    </row>
    <row r="22" spans="1:68" ht="12.75">
      <c r="A22" s="82"/>
      <c r="B22" s="82"/>
      <c r="C22" s="82"/>
      <c r="D22" s="82"/>
      <c r="E22" s="82"/>
      <c r="F22" s="82"/>
      <c r="G22" s="82"/>
      <c r="H22" s="82"/>
      <c r="I22" s="82"/>
      <c r="J22" s="82"/>
      <c r="K22" s="82"/>
      <c r="L22" s="82"/>
      <c r="M22" s="82"/>
      <c r="N22" s="82"/>
      <c r="O22" s="82"/>
      <c r="P22" s="82"/>
      <c r="Q22" s="82"/>
      <c r="R22" s="82"/>
      <c r="S22" s="82"/>
      <c r="T22" s="82"/>
      <c r="U22" s="82"/>
      <c r="V22" s="82"/>
      <c r="W22" s="82"/>
      <c r="X22" s="82"/>
      <c r="Y22" s="82"/>
      <c r="Z22" s="82"/>
      <c r="AA22" s="82"/>
      <c r="AB22" s="82"/>
      <c r="AC22" s="82"/>
      <c r="AD22" s="82"/>
      <c r="AE22" s="82"/>
      <c r="AF22" s="82"/>
      <c r="AG22" s="82"/>
      <c r="AH22" s="82"/>
      <c r="AI22" s="82"/>
      <c r="AJ22" s="82"/>
      <c r="AK22" s="82"/>
      <c r="AL22" s="82"/>
      <c r="AM22" s="82"/>
      <c r="AN22" s="82"/>
      <c r="AO22" s="82"/>
      <c r="AP22" s="82"/>
      <c r="AQ22" s="82"/>
      <c r="AR22" s="82"/>
      <c r="AS22" s="82"/>
      <c r="BB22" s="82"/>
      <c r="BC22" s="82"/>
      <c r="BD22" s="82"/>
      <c r="BE22" s="82"/>
      <c r="BF22" s="82"/>
      <c r="BG22" s="82"/>
      <c r="BH22" s="82"/>
      <c r="BI22" s="82"/>
      <c r="BJ22" s="82"/>
      <c r="BK22" s="82"/>
      <c r="BL22" s="82"/>
      <c r="BM22" s="82"/>
      <c r="BN22" s="82"/>
      <c r="BO22" s="82"/>
      <c r="BP22" s="82"/>
    </row>
    <row r="23" spans="1:68" ht="12.75">
      <c r="A23" s="82"/>
      <c r="B23" s="82"/>
      <c r="C23" s="82"/>
      <c r="D23" s="82"/>
      <c r="E23" s="82"/>
      <c r="F23" s="82"/>
      <c r="G23" s="82"/>
      <c r="H23" s="82"/>
      <c r="I23" s="82"/>
      <c r="J23" s="82"/>
      <c r="K23" s="82"/>
      <c r="L23" s="82"/>
      <c r="M23" s="82"/>
      <c r="N23" s="82"/>
      <c r="O23" s="82"/>
      <c r="P23" s="82"/>
      <c r="Q23" s="82"/>
      <c r="R23" s="82"/>
      <c r="S23" s="82"/>
      <c r="T23" s="82"/>
      <c r="U23" s="82"/>
      <c r="V23" s="82"/>
      <c r="W23" s="82"/>
      <c r="X23" s="82"/>
      <c r="Y23" s="82"/>
      <c r="Z23" s="82"/>
      <c r="AA23" s="82"/>
      <c r="AB23" s="82"/>
      <c r="AC23" s="82"/>
      <c r="AD23" s="82"/>
      <c r="AE23" s="82"/>
      <c r="AF23" s="82"/>
      <c r="AG23" s="82"/>
      <c r="AH23" s="82"/>
      <c r="AI23" s="82"/>
      <c r="AJ23" s="82"/>
      <c r="AK23" s="82"/>
      <c r="AL23" s="82"/>
      <c r="AM23" s="82"/>
      <c r="AN23" s="82"/>
      <c r="AO23" s="82"/>
      <c r="AP23" s="82"/>
      <c r="AQ23" s="82"/>
      <c r="AR23" s="82"/>
      <c r="AS23" s="82"/>
      <c r="BB23" s="82"/>
      <c r="BC23" s="82"/>
      <c r="BD23" s="82"/>
      <c r="BE23" s="82"/>
      <c r="BF23" s="82"/>
      <c r="BG23" s="82"/>
      <c r="BH23" s="82"/>
      <c r="BI23" s="82"/>
      <c r="BJ23" s="82"/>
      <c r="BK23" s="82"/>
      <c r="BL23" s="82"/>
      <c r="BM23" s="82"/>
      <c r="BN23" s="82"/>
      <c r="BO23" s="82"/>
      <c r="BP23" s="82"/>
    </row>
    <row r="24" spans="1:68" ht="12.75">
      <c r="A24" s="82"/>
      <c r="B24" s="82"/>
      <c r="C24" s="82"/>
      <c r="D24" s="82"/>
      <c r="E24" s="82"/>
      <c r="F24" s="82"/>
      <c r="G24" s="82"/>
      <c r="H24" s="82"/>
      <c r="I24" s="82"/>
      <c r="J24" s="82"/>
      <c r="K24" s="82"/>
      <c r="L24" s="82"/>
      <c r="M24" s="82"/>
      <c r="N24" s="82"/>
      <c r="O24" s="82"/>
      <c r="P24" s="82"/>
      <c r="Q24" s="82"/>
      <c r="R24" s="82"/>
      <c r="S24" s="82"/>
      <c r="T24" s="82"/>
      <c r="U24" s="82"/>
      <c r="V24" s="82"/>
      <c r="W24" s="82"/>
      <c r="X24" s="82"/>
      <c r="Y24" s="82"/>
      <c r="Z24" s="82"/>
      <c r="AA24" s="82"/>
      <c r="AB24" s="82"/>
      <c r="AC24" s="82"/>
      <c r="AD24" s="82"/>
      <c r="AE24" s="82"/>
      <c r="AF24" s="82"/>
      <c r="AG24" s="82"/>
      <c r="AH24" s="82"/>
      <c r="AI24" s="82"/>
      <c r="AJ24" s="82"/>
      <c r="AK24" s="82"/>
      <c r="AL24" s="82"/>
      <c r="AM24" s="82"/>
      <c r="AN24" s="82"/>
      <c r="AO24" s="82"/>
      <c r="AP24" s="82"/>
      <c r="AQ24" s="82"/>
      <c r="AR24" s="82"/>
      <c r="AS24" s="82"/>
      <c r="BB24" s="82"/>
      <c r="BC24" s="82"/>
      <c r="BD24" s="82"/>
      <c r="BE24" s="82"/>
      <c r="BF24" s="82"/>
      <c r="BG24" s="82"/>
      <c r="BH24" s="82"/>
      <c r="BI24" s="82"/>
      <c r="BJ24" s="82"/>
      <c r="BK24" s="82"/>
      <c r="BL24" s="82"/>
      <c r="BM24" s="82"/>
      <c r="BN24" s="82"/>
      <c r="BO24" s="82"/>
      <c r="BP24" s="82"/>
    </row>
    <row r="25" spans="1:68" ht="12.75">
      <c r="A25" s="82"/>
      <c r="B25" s="82"/>
      <c r="C25" s="82"/>
      <c r="D25" s="82"/>
      <c r="E25" s="82"/>
      <c r="F25" s="82"/>
      <c r="G25" s="82"/>
      <c r="H25" s="82"/>
      <c r="I25" s="82"/>
      <c r="J25" s="82"/>
      <c r="K25" s="82"/>
      <c r="L25" s="82"/>
      <c r="M25" s="82"/>
      <c r="N25" s="82"/>
      <c r="O25" s="82"/>
      <c r="P25" s="82"/>
      <c r="Q25" s="82"/>
      <c r="R25" s="82"/>
      <c r="S25" s="82"/>
      <c r="T25" s="82"/>
      <c r="U25" s="82"/>
      <c r="V25" s="82"/>
      <c r="W25" s="82"/>
      <c r="X25" s="82"/>
      <c r="Y25" s="82"/>
      <c r="Z25" s="82"/>
      <c r="AA25" s="82"/>
      <c r="AB25" s="82"/>
      <c r="AC25" s="82"/>
      <c r="AD25" s="82"/>
      <c r="AE25" s="82"/>
      <c r="AF25" s="82"/>
      <c r="AG25" s="82"/>
      <c r="AH25" s="82"/>
      <c r="AI25" s="82"/>
      <c r="AJ25" s="82"/>
      <c r="AK25" s="82"/>
      <c r="AL25" s="82"/>
      <c r="AM25" s="82"/>
      <c r="AN25" s="82"/>
      <c r="AO25" s="82"/>
      <c r="AP25" s="82"/>
      <c r="AQ25" s="82"/>
      <c r="AR25" s="82"/>
      <c r="AS25" s="82"/>
      <c r="BB25" s="82"/>
      <c r="BC25" s="82"/>
      <c r="BD25" s="82"/>
      <c r="BE25" s="82"/>
      <c r="BF25" s="82"/>
      <c r="BG25" s="82"/>
      <c r="BH25" s="82"/>
      <c r="BI25" s="82"/>
      <c r="BJ25" s="82"/>
      <c r="BK25" s="82"/>
      <c r="BL25" s="82"/>
      <c r="BM25" s="82"/>
      <c r="BN25" s="82"/>
      <c r="BO25" s="82"/>
      <c r="BP25" s="82"/>
    </row>
    <row r="26" spans="1:68" ht="12.75">
      <c r="A26" s="82"/>
      <c r="B26" s="82"/>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82"/>
      <c r="AD26" s="82"/>
      <c r="AE26" s="82"/>
      <c r="AF26" s="82"/>
      <c r="AG26" s="82"/>
      <c r="AH26" s="82"/>
      <c r="AI26" s="82"/>
      <c r="AJ26" s="82"/>
      <c r="AK26" s="82"/>
      <c r="AL26" s="82"/>
      <c r="AM26" s="82"/>
      <c r="AN26" s="82"/>
      <c r="AO26" s="82"/>
      <c r="AP26" s="82"/>
      <c r="AQ26" s="82"/>
      <c r="AR26" s="82"/>
      <c r="AS26" s="82"/>
      <c r="BB26" s="82"/>
      <c r="BC26" s="82"/>
      <c r="BD26" s="82"/>
      <c r="BE26" s="82"/>
      <c r="BF26" s="82"/>
      <c r="BG26" s="82"/>
      <c r="BH26" s="82"/>
      <c r="BI26" s="82"/>
      <c r="BJ26" s="82"/>
      <c r="BK26" s="82"/>
      <c r="BL26" s="82"/>
      <c r="BM26" s="82"/>
      <c r="BN26" s="82"/>
      <c r="BO26" s="82"/>
      <c r="BP26" s="82"/>
    </row>
    <row r="27" spans="1:68" ht="12.75">
      <c r="A27" s="82"/>
      <c r="B27" s="82"/>
      <c r="C27" s="82"/>
      <c r="D27" s="82"/>
      <c r="E27" s="82"/>
      <c r="F27" s="82"/>
      <c r="G27" s="82"/>
      <c r="H27" s="82"/>
      <c r="I27" s="82"/>
      <c r="J27" s="82"/>
      <c r="K27" s="82"/>
      <c r="L27" s="82"/>
      <c r="M27" s="82"/>
      <c r="N27" s="82"/>
      <c r="O27" s="82"/>
      <c r="P27" s="82"/>
      <c r="Q27" s="82"/>
      <c r="R27" s="82"/>
      <c r="S27" s="82"/>
      <c r="T27" s="82"/>
      <c r="U27" s="82"/>
      <c r="V27" s="82"/>
      <c r="W27" s="82"/>
      <c r="X27" s="82"/>
      <c r="Y27" s="82"/>
      <c r="Z27" s="82"/>
      <c r="AA27" s="82"/>
      <c r="AB27" s="82"/>
      <c r="AC27" s="82"/>
      <c r="AD27" s="82"/>
      <c r="AE27" s="82"/>
      <c r="AF27" s="82"/>
      <c r="AG27" s="82"/>
      <c r="AH27" s="82"/>
      <c r="AI27" s="82"/>
      <c r="AJ27" s="82"/>
      <c r="AK27" s="82"/>
      <c r="AL27" s="82"/>
      <c r="AM27" s="82"/>
      <c r="AN27" s="82"/>
      <c r="AO27" s="82"/>
      <c r="AP27" s="82"/>
      <c r="AQ27" s="82"/>
      <c r="AR27" s="82"/>
      <c r="AS27" s="82"/>
      <c r="BB27" s="82"/>
      <c r="BC27" s="82"/>
      <c r="BD27" s="82"/>
      <c r="BE27" s="82"/>
      <c r="BF27" s="82"/>
      <c r="BG27" s="82"/>
      <c r="BH27" s="82"/>
      <c r="BI27" s="82"/>
      <c r="BJ27" s="82"/>
      <c r="BK27" s="82"/>
      <c r="BL27" s="82"/>
      <c r="BM27" s="82"/>
      <c r="BN27" s="82"/>
      <c r="BO27" s="82"/>
      <c r="BP27" s="82"/>
    </row>
    <row r="28" spans="1:68" ht="12.75">
      <c r="A28" s="82"/>
      <c r="B28" s="82"/>
      <c r="C28" s="82"/>
      <c r="D28" s="82"/>
      <c r="E28" s="82"/>
      <c r="F28" s="82"/>
      <c r="G28" s="82"/>
      <c r="H28" s="82"/>
      <c r="I28" s="82"/>
      <c r="J28" s="82"/>
      <c r="K28" s="82"/>
      <c r="L28" s="82"/>
      <c r="M28" s="82"/>
      <c r="N28" s="82"/>
      <c r="O28" s="82"/>
      <c r="P28" s="82"/>
      <c r="Q28" s="82"/>
      <c r="R28" s="82"/>
      <c r="S28" s="82"/>
      <c r="T28" s="82"/>
      <c r="U28" s="82"/>
      <c r="V28" s="82"/>
      <c r="W28" s="82"/>
      <c r="X28" s="82"/>
      <c r="Y28" s="82"/>
      <c r="Z28" s="82"/>
      <c r="AA28" s="82"/>
      <c r="AB28" s="82"/>
      <c r="AC28" s="82"/>
      <c r="AD28" s="82"/>
      <c r="AE28" s="82"/>
      <c r="AF28" s="82"/>
      <c r="AG28" s="82"/>
      <c r="AH28" s="82"/>
      <c r="AI28" s="82"/>
      <c r="AJ28" s="82"/>
      <c r="AK28" s="82"/>
      <c r="AL28" s="82"/>
      <c r="AM28" s="82"/>
      <c r="AN28" s="82"/>
      <c r="AO28" s="82"/>
      <c r="AP28" s="82"/>
      <c r="AQ28" s="82"/>
      <c r="AR28" s="82"/>
      <c r="AS28" s="82"/>
      <c r="BB28" s="82"/>
      <c r="BC28" s="82"/>
      <c r="BD28" s="82"/>
      <c r="BE28" s="82"/>
      <c r="BF28" s="82"/>
      <c r="BG28" s="82"/>
      <c r="BH28" s="82"/>
      <c r="BI28" s="82"/>
      <c r="BJ28" s="82"/>
      <c r="BK28" s="82"/>
      <c r="BL28" s="82"/>
      <c r="BM28" s="82"/>
      <c r="BN28" s="82"/>
      <c r="BO28" s="82"/>
      <c r="BP28" s="82"/>
    </row>
    <row r="29" spans="1:68" ht="12.75">
      <c r="A29" s="82"/>
      <c r="B29" s="82"/>
      <c r="C29" s="82"/>
      <c r="D29" s="82"/>
      <c r="E29" s="82"/>
      <c r="F29" s="82"/>
      <c r="G29" s="82"/>
      <c r="H29" s="82"/>
      <c r="I29" s="82"/>
      <c r="J29" s="82"/>
      <c r="K29" s="82"/>
      <c r="L29" s="82"/>
      <c r="M29" s="82"/>
      <c r="N29" s="82"/>
      <c r="O29" s="82"/>
      <c r="P29" s="82"/>
      <c r="Q29" s="82"/>
      <c r="R29" s="82"/>
      <c r="S29" s="82"/>
      <c r="T29" s="82"/>
      <c r="U29" s="82"/>
      <c r="V29" s="82"/>
      <c r="W29" s="82"/>
      <c r="X29" s="82"/>
      <c r="Y29" s="82"/>
      <c r="Z29" s="82"/>
      <c r="AA29" s="82"/>
      <c r="AB29" s="82"/>
      <c r="AC29" s="82"/>
      <c r="AD29" s="82"/>
      <c r="AE29" s="82"/>
      <c r="AF29" s="82"/>
      <c r="AG29" s="82"/>
      <c r="AH29" s="82"/>
      <c r="AI29" s="82"/>
      <c r="AJ29" s="82"/>
      <c r="AK29" s="82"/>
      <c r="AL29" s="82"/>
      <c r="AM29" s="82"/>
      <c r="AN29" s="82"/>
      <c r="AO29" s="82"/>
      <c r="AP29" s="82"/>
      <c r="AQ29" s="82"/>
      <c r="AR29" s="82"/>
      <c r="AS29" s="82"/>
      <c r="BB29" s="82"/>
      <c r="BC29" s="82"/>
      <c r="BD29" s="82"/>
      <c r="BE29" s="82"/>
      <c r="BF29" s="82"/>
      <c r="BG29" s="82"/>
      <c r="BH29" s="82"/>
      <c r="BI29" s="82"/>
      <c r="BJ29" s="82"/>
      <c r="BK29" s="82"/>
      <c r="BL29" s="82"/>
      <c r="BM29" s="82"/>
      <c r="BN29" s="82"/>
      <c r="BO29" s="82"/>
      <c r="BP29" s="82"/>
    </row>
    <row r="30" spans="1:68" ht="12.75">
      <c r="A30" s="82"/>
      <c r="B30" s="82"/>
      <c r="C30" s="82"/>
      <c r="D30" s="82"/>
      <c r="E30" s="82"/>
      <c r="F30" s="82"/>
      <c r="G30" s="82"/>
      <c r="H30" s="82"/>
      <c r="I30" s="82"/>
      <c r="J30" s="82"/>
      <c r="K30" s="82"/>
      <c r="L30" s="82"/>
      <c r="M30" s="82"/>
      <c r="N30" s="82"/>
      <c r="O30" s="82"/>
      <c r="P30" s="82"/>
      <c r="Q30" s="82"/>
      <c r="R30" s="82"/>
      <c r="S30" s="82"/>
      <c r="T30" s="82"/>
      <c r="U30" s="82"/>
      <c r="V30" s="82"/>
      <c r="W30" s="82"/>
      <c r="X30" s="82"/>
      <c r="Y30" s="82"/>
      <c r="Z30" s="82"/>
      <c r="AA30" s="82"/>
      <c r="AB30" s="82"/>
      <c r="AC30" s="82"/>
      <c r="AD30" s="82"/>
      <c r="AE30" s="82"/>
      <c r="AF30" s="82"/>
      <c r="AG30" s="82"/>
      <c r="AH30" s="82"/>
      <c r="AI30" s="82"/>
      <c r="AJ30" s="82"/>
      <c r="AK30" s="82"/>
      <c r="AL30" s="82"/>
      <c r="AM30" s="82"/>
      <c r="AN30" s="82"/>
      <c r="AO30" s="82"/>
      <c r="AP30" s="82"/>
      <c r="AQ30" s="82"/>
      <c r="AR30" s="82"/>
      <c r="AS30" s="82"/>
      <c r="BB30" s="82"/>
      <c r="BC30" s="82"/>
      <c r="BD30" s="82"/>
      <c r="BE30" s="82"/>
      <c r="BF30" s="82"/>
      <c r="BG30" s="82"/>
      <c r="BH30" s="82"/>
      <c r="BI30" s="82"/>
      <c r="BJ30" s="82"/>
      <c r="BK30" s="82"/>
      <c r="BL30" s="82"/>
      <c r="BM30" s="82"/>
      <c r="BN30" s="82"/>
      <c r="BO30" s="82"/>
      <c r="BP30" s="82"/>
    </row>
    <row r="31" spans="1:68" ht="12.75">
      <c r="A31" s="82"/>
      <c r="B31" s="82"/>
      <c r="C31" s="82"/>
      <c r="D31" s="82"/>
      <c r="E31" s="82"/>
      <c r="F31" s="82"/>
      <c r="G31" s="82"/>
      <c r="H31" s="82"/>
      <c r="I31" s="82"/>
      <c r="J31" s="82"/>
      <c r="K31" s="82"/>
      <c r="L31" s="82"/>
      <c r="M31" s="82"/>
      <c r="N31" s="82"/>
      <c r="O31" s="82"/>
      <c r="P31" s="82"/>
      <c r="Q31" s="82"/>
      <c r="R31" s="82"/>
      <c r="S31" s="82"/>
      <c r="T31" s="82"/>
      <c r="U31" s="82"/>
      <c r="V31" s="82"/>
      <c r="W31" s="82"/>
      <c r="X31" s="82"/>
      <c r="Y31" s="82"/>
      <c r="Z31" s="82"/>
      <c r="AA31" s="82"/>
      <c r="AB31" s="82"/>
      <c r="AC31" s="82"/>
      <c r="AD31" s="82"/>
      <c r="AE31" s="82"/>
      <c r="AF31" s="82"/>
      <c r="AG31" s="82"/>
      <c r="AH31" s="82"/>
      <c r="AI31" s="82"/>
      <c r="AJ31" s="82"/>
      <c r="AK31" s="82"/>
      <c r="AL31" s="82"/>
      <c r="AM31" s="82"/>
      <c r="AN31" s="82"/>
      <c r="AO31" s="82"/>
      <c r="AP31" s="82"/>
      <c r="AQ31" s="82"/>
      <c r="AR31" s="82"/>
      <c r="AS31" s="82"/>
      <c r="BB31" s="82"/>
      <c r="BC31" s="82"/>
      <c r="BD31" s="82"/>
      <c r="BE31" s="82"/>
      <c r="BF31" s="82"/>
      <c r="BG31" s="82"/>
      <c r="BH31" s="82"/>
      <c r="BI31" s="82"/>
      <c r="BJ31" s="82"/>
      <c r="BK31" s="82"/>
      <c r="BL31" s="82"/>
      <c r="BM31" s="82"/>
      <c r="BN31" s="82"/>
      <c r="BO31" s="82"/>
      <c r="BP31" s="82"/>
    </row>
    <row r="32" spans="1:68" ht="12.75">
      <c r="A32" s="82"/>
      <c r="B32" s="82"/>
      <c r="C32" s="82"/>
      <c r="D32" s="82"/>
      <c r="E32" s="82"/>
      <c r="F32" s="82"/>
      <c r="G32" s="82"/>
      <c r="H32" s="82"/>
      <c r="I32" s="82"/>
      <c r="J32" s="82"/>
      <c r="K32" s="82"/>
      <c r="L32" s="82"/>
      <c r="M32" s="82"/>
      <c r="N32" s="82"/>
      <c r="O32" s="82"/>
      <c r="P32" s="82"/>
      <c r="Q32" s="82"/>
      <c r="R32" s="82"/>
      <c r="S32" s="82"/>
      <c r="T32" s="82"/>
      <c r="U32" s="82"/>
      <c r="V32" s="82"/>
      <c r="W32" s="82"/>
      <c r="X32" s="82"/>
      <c r="Y32" s="82"/>
      <c r="Z32" s="82"/>
      <c r="AA32" s="82"/>
      <c r="AB32" s="82"/>
      <c r="AC32" s="82"/>
      <c r="AD32" s="82"/>
      <c r="AE32" s="82"/>
      <c r="AF32" s="82"/>
      <c r="AG32" s="82"/>
      <c r="AH32" s="82"/>
      <c r="AI32" s="82"/>
      <c r="AJ32" s="82"/>
      <c r="AK32" s="82"/>
      <c r="AL32" s="82"/>
      <c r="AM32" s="82"/>
      <c r="AN32" s="82"/>
      <c r="AO32" s="82"/>
      <c r="AP32" s="82"/>
      <c r="AQ32" s="82"/>
      <c r="AR32" s="82"/>
      <c r="AS32" s="82"/>
      <c r="BB32" s="82"/>
      <c r="BC32" s="82"/>
      <c r="BD32" s="82"/>
      <c r="BE32" s="82"/>
      <c r="BF32" s="82"/>
      <c r="BG32" s="82"/>
      <c r="BH32" s="82"/>
      <c r="BI32" s="82"/>
      <c r="BJ32" s="82"/>
      <c r="BK32" s="82"/>
      <c r="BL32" s="82"/>
      <c r="BM32" s="82"/>
      <c r="BN32" s="82"/>
      <c r="BO32" s="82"/>
      <c r="BP32" s="82"/>
    </row>
    <row r="33" spans="1:68" ht="12.75">
      <c r="A33" s="82"/>
      <c r="B33" s="82"/>
      <c r="C33" s="82"/>
      <c r="D33" s="82"/>
      <c r="E33" s="82"/>
      <c r="F33" s="82"/>
      <c r="G33" s="82"/>
      <c r="H33" s="82"/>
      <c r="I33" s="82"/>
      <c r="J33" s="82"/>
      <c r="K33" s="82"/>
      <c r="L33" s="82"/>
      <c r="M33" s="82"/>
      <c r="N33" s="82"/>
      <c r="O33" s="82"/>
      <c r="P33" s="82"/>
      <c r="Q33" s="82"/>
      <c r="R33" s="82"/>
      <c r="S33" s="82"/>
      <c r="T33" s="82"/>
      <c r="U33" s="82"/>
      <c r="V33" s="82"/>
      <c r="W33" s="82"/>
      <c r="X33" s="82"/>
      <c r="Y33" s="82"/>
      <c r="Z33" s="82"/>
      <c r="AA33" s="82"/>
      <c r="AB33" s="82"/>
      <c r="AC33" s="82"/>
      <c r="AD33" s="82"/>
      <c r="AE33" s="82"/>
      <c r="AF33" s="82"/>
      <c r="AG33" s="82"/>
      <c r="AH33" s="82"/>
      <c r="AI33" s="82"/>
      <c r="AJ33" s="82"/>
      <c r="AK33" s="82"/>
      <c r="AL33" s="82"/>
      <c r="AM33" s="82"/>
      <c r="AN33" s="82"/>
      <c r="AO33" s="82"/>
      <c r="AP33" s="82"/>
      <c r="AQ33" s="82"/>
      <c r="AR33" s="82"/>
      <c r="AS33" s="82"/>
      <c r="BB33" s="82"/>
      <c r="BC33" s="82"/>
      <c r="BD33" s="82"/>
      <c r="BE33" s="82"/>
      <c r="BF33" s="82"/>
      <c r="BG33" s="82"/>
      <c r="BH33" s="82"/>
      <c r="BI33" s="82"/>
      <c r="BJ33" s="82"/>
      <c r="BK33" s="82"/>
      <c r="BL33" s="82"/>
      <c r="BM33" s="82"/>
      <c r="BN33" s="82"/>
      <c r="BO33" s="82"/>
      <c r="BP33" s="82"/>
    </row>
    <row r="34" spans="1:68" ht="12.75">
      <c r="A34" s="82"/>
      <c r="B34" s="82"/>
      <c r="C34" s="82"/>
      <c r="D34" s="82"/>
      <c r="E34" s="82"/>
      <c r="F34" s="82"/>
      <c r="G34" s="82"/>
      <c r="H34" s="82"/>
      <c r="I34" s="82"/>
      <c r="J34" s="82"/>
      <c r="K34" s="82"/>
      <c r="L34" s="82"/>
      <c r="M34" s="82"/>
      <c r="N34" s="82"/>
      <c r="O34" s="82"/>
      <c r="P34" s="82"/>
      <c r="Q34" s="82"/>
      <c r="R34" s="82"/>
      <c r="S34" s="82"/>
      <c r="T34" s="82"/>
      <c r="U34" s="82"/>
      <c r="V34" s="82"/>
      <c r="W34" s="82"/>
      <c r="X34" s="82"/>
      <c r="Y34" s="82"/>
      <c r="Z34" s="82"/>
      <c r="AA34" s="82"/>
      <c r="AB34" s="82"/>
      <c r="AC34" s="82"/>
      <c r="AD34" s="82"/>
      <c r="AE34" s="82"/>
      <c r="AF34" s="82"/>
      <c r="AG34" s="82"/>
      <c r="AH34" s="82"/>
      <c r="AI34" s="82"/>
      <c r="AJ34" s="82"/>
      <c r="AK34" s="82"/>
      <c r="AL34" s="82"/>
      <c r="AM34" s="82"/>
      <c r="AN34" s="82"/>
      <c r="AO34" s="82"/>
      <c r="AP34" s="82"/>
      <c r="AQ34" s="82"/>
      <c r="AR34" s="82"/>
      <c r="AS34" s="82"/>
      <c r="BB34" s="82"/>
      <c r="BC34" s="82"/>
      <c r="BD34" s="82"/>
      <c r="BE34" s="82"/>
      <c r="BF34" s="82"/>
      <c r="BG34" s="82"/>
      <c r="BH34" s="82"/>
      <c r="BI34" s="82"/>
      <c r="BJ34" s="82"/>
      <c r="BK34" s="82"/>
      <c r="BL34" s="82"/>
      <c r="BM34" s="82"/>
      <c r="BN34" s="82"/>
      <c r="BO34" s="82"/>
      <c r="BP34" s="82"/>
    </row>
  </sheetData>
  <sheetProtection/>
  <mergeCells count="5">
    <mergeCell ref="BH6:BH7"/>
    <mergeCell ref="AO7:AT7"/>
    <mergeCell ref="AF6:AF7"/>
    <mergeCell ref="C7:K7"/>
    <mergeCell ref="U7:AE7"/>
  </mergeCells>
  <printOptions/>
  <pageMargins left="0.75" right="0.75" top="1" bottom="1" header="0.5" footer="0.5"/>
  <pageSetup orientation="portrait" paperSize="9"/>
  <legacyDrawing r:id="rId2"/>
</worksheet>
</file>

<file path=xl/worksheets/sheet5.xml><?xml version="1.0" encoding="utf-8"?>
<worksheet xmlns="http://schemas.openxmlformats.org/spreadsheetml/2006/main" xmlns:r="http://schemas.openxmlformats.org/officeDocument/2006/relationships">
  <dimension ref="A1:AQ23"/>
  <sheetViews>
    <sheetView zoomScalePageLayoutView="0" workbookViewId="0" topLeftCell="A11">
      <selection activeCell="C14" sqref="C14"/>
    </sheetView>
  </sheetViews>
  <sheetFormatPr defaultColWidth="9.140625" defaultRowHeight="12.75"/>
  <cols>
    <col min="1" max="1" width="7.8515625" style="0" customWidth="1"/>
    <col min="2" max="2" width="5.00390625" style="0" customWidth="1"/>
    <col min="3" max="3" width="20.28125" style="0" customWidth="1"/>
    <col min="4" max="4" width="22.7109375" style="0" customWidth="1"/>
    <col min="5" max="8" width="13.421875" style="0" customWidth="1"/>
    <col min="11" max="15" width="10.421875" style="0" customWidth="1"/>
    <col min="16" max="17" width="16.7109375" style="0" customWidth="1"/>
    <col min="18" max="18" width="38.7109375" style="0" customWidth="1"/>
    <col min="19" max="19" width="16.00390625" style="0" customWidth="1"/>
    <col min="20" max="21" width="10.421875" style="0" customWidth="1"/>
    <col min="22" max="24" width="13.421875" style="0" customWidth="1"/>
    <col min="25" max="25" width="41.57421875" style="0" customWidth="1"/>
    <col min="26" max="26" width="13.421875" style="0" customWidth="1"/>
    <col min="27" max="28" width="10.57421875" style="0" customWidth="1"/>
    <col min="29" max="29" width="12.421875" style="0" customWidth="1"/>
    <col min="30" max="31" width="15.421875" style="0" customWidth="1"/>
    <col min="32" max="33" width="11.421875" style="0" customWidth="1"/>
    <col min="34" max="35" width="13.00390625" style="0" customWidth="1"/>
    <col min="36" max="36" width="11.140625" style="0" customWidth="1"/>
    <col min="37" max="38" width="15.421875" style="0" customWidth="1"/>
    <col min="39" max="39" width="20.28125" style="0" customWidth="1"/>
    <col min="40" max="40" width="19.7109375" style="0" customWidth="1"/>
    <col min="41" max="41" width="12.7109375" style="0" customWidth="1"/>
    <col min="42" max="42" width="10.7109375" style="0" customWidth="1"/>
  </cols>
  <sheetData>
    <row r="1" spans="1:41" ht="12.75">
      <c r="A1" s="1"/>
      <c r="B1" t="s">
        <v>678</v>
      </c>
      <c r="K1" s="794" t="s">
        <v>202</v>
      </c>
      <c r="L1" s="794"/>
      <c r="M1" s="794"/>
      <c r="N1" s="794"/>
      <c r="O1" s="794"/>
      <c r="P1" s="794" t="s">
        <v>203</v>
      </c>
      <c r="Q1" s="794"/>
      <c r="R1" s="794"/>
      <c r="S1" s="794"/>
      <c r="T1" s="794"/>
      <c r="U1" s="794"/>
      <c r="V1" s="794"/>
      <c r="W1" s="15"/>
      <c r="X1" s="15"/>
      <c r="Y1" s="794" t="s">
        <v>204</v>
      </c>
      <c r="Z1" s="794"/>
      <c r="AA1" s="794"/>
      <c r="AB1" s="794"/>
      <c r="AC1" s="794"/>
      <c r="AD1" s="794" t="s">
        <v>205</v>
      </c>
      <c r="AE1" s="794"/>
      <c r="AF1" s="794"/>
      <c r="AG1" s="794" t="s">
        <v>206</v>
      </c>
      <c r="AH1" s="794"/>
      <c r="AI1" s="794"/>
      <c r="AJ1" s="794"/>
      <c r="AK1" s="794" t="s">
        <v>207</v>
      </c>
      <c r="AL1" s="794"/>
      <c r="AM1" s="794"/>
      <c r="AN1" s="794"/>
      <c r="AO1" s="794"/>
    </row>
    <row r="2" spans="1:41" ht="12.75">
      <c r="A2" s="2"/>
      <c r="B2" t="s">
        <v>679</v>
      </c>
      <c r="K2" s="794"/>
      <c r="L2" s="794"/>
      <c r="M2" s="794"/>
      <c r="N2" s="794"/>
      <c r="O2" s="794"/>
      <c r="P2" s="794"/>
      <c r="Q2" s="794"/>
      <c r="R2" s="794"/>
      <c r="S2" s="794"/>
      <c r="T2" s="794"/>
      <c r="U2" s="794"/>
      <c r="V2" s="794"/>
      <c r="W2" s="15"/>
      <c r="X2" s="15"/>
      <c r="Y2" s="794"/>
      <c r="Z2" s="794"/>
      <c r="AA2" s="794"/>
      <c r="AB2" s="794"/>
      <c r="AC2" s="794"/>
      <c r="AD2" s="794"/>
      <c r="AE2" s="794"/>
      <c r="AF2" s="794"/>
      <c r="AG2" s="794"/>
      <c r="AH2" s="794"/>
      <c r="AI2" s="794"/>
      <c r="AJ2" s="794"/>
      <c r="AK2" s="794"/>
      <c r="AL2" s="794"/>
      <c r="AM2" s="794"/>
      <c r="AN2" s="794"/>
      <c r="AO2" s="794"/>
    </row>
    <row r="3" spans="1:41" ht="12.75">
      <c r="A3" s="3"/>
      <c r="B3" t="s">
        <v>680</v>
      </c>
      <c r="K3" s="794"/>
      <c r="L3" s="794"/>
      <c r="M3" s="794"/>
      <c r="N3" s="794"/>
      <c r="O3" s="794"/>
      <c r="P3" s="794"/>
      <c r="Q3" s="794"/>
      <c r="R3" s="794"/>
      <c r="S3" s="794"/>
      <c r="T3" s="794"/>
      <c r="U3" s="794"/>
      <c r="V3" s="794"/>
      <c r="W3" s="15"/>
      <c r="X3" s="15"/>
      <c r="Y3" s="794"/>
      <c r="Z3" s="794"/>
      <c r="AA3" s="794"/>
      <c r="AB3" s="794"/>
      <c r="AC3" s="794"/>
      <c r="AD3" s="794"/>
      <c r="AE3" s="794"/>
      <c r="AF3" s="794"/>
      <c r="AG3" s="794"/>
      <c r="AH3" s="794"/>
      <c r="AI3" s="794"/>
      <c r="AJ3" s="794"/>
      <c r="AK3" s="794"/>
      <c r="AL3" s="794"/>
      <c r="AM3" s="794"/>
      <c r="AN3" s="794"/>
      <c r="AO3" s="794"/>
    </row>
    <row r="4" spans="1:41" ht="12.75">
      <c r="A4" s="4"/>
      <c r="B4" t="s">
        <v>681</v>
      </c>
      <c r="K4" s="794"/>
      <c r="L4" s="794"/>
      <c r="M4" s="794"/>
      <c r="N4" s="794"/>
      <c r="O4" s="794"/>
      <c r="P4" s="794"/>
      <c r="Q4" s="794"/>
      <c r="R4" s="794"/>
      <c r="S4" s="794"/>
      <c r="T4" s="794"/>
      <c r="U4" s="794"/>
      <c r="V4" s="794"/>
      <c r="W4" s="15"/>
      <c r="X4" s="15"/>
      <c r="Y4" s="794"/>
      <c r="Z4" s="794"/>
      <c r="AA4" s="794"/>
      <c r="AB4" s="794"/>
      <c r="AC4" s="794"/>
      <c r="AD4" s="794"/>
      <c r="AE4" s="794"/>
      <c r="AF4" s="794"/>
      <c r="AG4" s="794"/>
      <c r="AH4" s="794"/>
      <c r="AI4" s="794"/>
      <c r="AJ4" s="794"/>
      <c r="AK4" s="794"/>
      <c r="AL4" s="794"/>
      <c r="AM4" s="794"/>
      <c r="AN4" s="794"/>
      <c r="AO4" s="794"/>
    </row>
    <row r="5" spans="1:41" ht="12.75">
      <c r="A5" s="5"/>
      <c r="B5" t="s">
        <v>682</v>
      </c>
      <c r="K5" s="794"/>
      <c r="L5" s="794"/>
      <c r="M5" s="794"/>
      <c r="N5" s="794"/>
      <c r="O5" s="794"/>
      <c r="P5" s="794"/>
      <c r="Q5" s="794"/>
      <c r="R5" s="794"/>
      <c r="S5" s="794"/>
      <c r="T5" s="794"/>
      <c r="U5" s="794"/>
      <c r="V5" s="794"/>
      <c r="W5" s="15"/>
      <c r="X5" s="15"/>
      <c r="Y5" s="794"/>
      <c r="Z5" s="794"/>
      <c r="AA5" s="794"/>
      <c r="AB5" s="794"/>
      <c r="AC5" s="794"/>
      <c r="AD5" s="794"/>
      <c r="AE5" s="794"/>
      <c r="AF5" s="794"/>
      <c r="AG5" s="794"/>
      <c r="AH5" s="794"/>
      <c r="AI5" s="794"/>
      <c r="AJ5" s="794"/>
      <c r="AK5" s="794"/>
      <c r="AL5" s="794"/>
      <c r="AM5" s="794"/>
      <c r="AN5" s="794"/>
      <c r="AO5" s="794"/>
    </row>
    <row r="6" spans="1:41" ht="12.75">
      <c r="A6" s="6"/>
      <c r="B6" t="s">
        <v>683</v>
      </c>
      <c r="K6" s="794"/>
      <c r="L6" s="794"/>
      <c r="M6" s="794"/>
      <c r="N6" s="794"/>
      <c r="O6" s="794"/>
      <c r="P6" s="794"/>
      <c r="Q6" s="794"/>
      <c r="R6" s="794"/>
      <c r="S6" s="794"/>
      <c r="T6" s="794"/>
      <c r="U6" s="794"/>
      <c r="V6" s="794"/>
      <c r="W6" s="15"/>
      <c r="X6" s="15"/>
      <c r="Y6" s="794"/>
      <c r="Z6" s="794"/>
      <c r="AA6" s="794"/>
      <c r="AB6" s="794"/>
      <c r="AC6" s="794"/>
      <c r="AD6" s="794"/>
      <c r="AE6" s="794"/>
      <c r="AF6" s="794"/>
      <c r="AG6" s="794"/>
      <c r="AH6" s="794"/>
      <c r="AI6" s="794"/>
      <c r="AJ6" s="794"/>
      <c r="AK6" s="794"/>
      <c r="AL6" s="794"/>
      <c r="AM6" s="794"/>
      <c r="AN6" s="794"/>
      <c r="AO6" s="794"/>
    </row>
    <row r="7" spans="1:41" s="13" customFormat="1" ht="76.5" customHeight="1">
      <c r="A7" s="13" t="s">
        <v>694</v>
      </c>
      <c r="B7" s="798" t="s">
        <v>686</v>
      </c>
      <c r="C7" s="798"/>
      <c r="D7" s="693" t="s">
        <v>208</v>
      </c>
      <c r="E7" s="693" t="s">
        <v>687</v>
      </c>
      <c r="F7" s="693"/>
      <c r="G7" s="693"/>
      <c r="H7" s="693"/>
      <c r="I7" s="799" t="s">
        <v>209</v>
      </c>
      <c r="J7" s="799"/>
      <c r="K7" s="800"/>
      <c r="L7" s="800"/>
      <c r="M7" s="800"/>
      <c r="N7" s="800"/>
      <c r="O7" s="800"/>
      <c r="P7" s="694"/>
      <c r="Q7" s="694"/>
      <c r="R7" s="801" t="s">
        <v>210</v>
      </c>
      <c r="S7" s="801"/>
      <c r="T7" s="801"/>
      <c r="U7" s="695"/>
      <c r="V7" s="696"/>
      <c r="W7" s="696"/>
      <c r="X7" s="696"/>
      <c r="Y7" s="802" t="s">
        <v>211</v>
      </c>
      <c r="Z7" s="803"/>
      <c r="AA7" s="803"/>
      <c r="AB7" s="697" t="s">
        <v>684</v>
      </c>
      <c r="AC7" s="13" t="s">
        <v>212</v>
      </c>
      <c r="AD7" s="698" t="s">
        <v>685</v>
      </c>
      <c r="AE7" s="699" t="s">
        <v>213</v>
      </c>
      <c r="AF7" s="13" t="s">
        <v>214</v>
      </c>
      <c r="AG7" s="695" t="s">
        <v>215</v>
      </c>
      <c r="AH7" s="695" t="s">
        <v>216</v>
      </c>
      <c r="AI7" s="695" t="s">
        <v>217</v>
      </c>
      <c r="AJ7" s="13" t="s">
        <v>218</v>
      </c>
      <c r="AK7" s="278" t="s">
        <v>485</v>
      </c>
      <c r="AL7" s="278" t="s">
        <v>480</v>
      </c>
      <c r="AM7" s="433" t="s">
        <v>418</v>
      </c>
      <c r="AN7" s="23" t="s">
        <v>687</v>
      </c>
      <c r="AO7" s="307" t="s">
        <v>419</v>
      </c>
    </row>
    <row r="8" spans="1:42" s="24" customFormat="1" ht="89.25">
      <c r="A8" s="24" t="s">
        <v>719</v>
      </c>
      <c r="B8" s="21" t="s">
        <v>720</v>
      </c>
      <c r="C8" s="21" t="s">
        <v>721</v>
      </c>
      <c r="D8" s="21" t="s">
        <v>722</v>
      </c>
      <c r="E8" s="22" t="s">
        <v>727</v>
      </c>
      <c r="F8" s="22"/>
      <c r="G8" s="22"/>
      <c r="H8" s="22"/>
      <c r="I8" s="22" t="s">
        <v>219</v>
      </c>
      <c r="J8" s="22" t="s">
        <v>220</v>
      </c>
      <c r="K8" s="22" t="s">
        <v>221</v>
      </c>
      <c r="L8" s="22" t="s">
        <v>222</v>
      </c>
      <c r="M8" s="22" t="s">
        <v>431</v>
      </c>
      <c r="N8" s="22" t="s">
        <v>223</v>
      </c>
      <c r="O8" s="22" t="s">
        <v>224</v>
      </c>
      <c r="P8" s="22" t="s">
        <v>225</v>
      </c>
      <c r="Q8" s="22" t="s">
        <v>226</v>
      </c>
      <c r="R8" s="22" t="s">
        <v>227</v>
      </c>
      <c r="S8" s="22"/>
      <c r="T8" s="22" t="s">
        <v>228</v>
      </c>
      <c r="U8" s="22"/>
      <c r="V8" s="22" t="s">
        <v>229</v>
      </c>
      <c r="W8" s="22" t="s">
        <v>230</v>
      </c>
      <c r="X8" s="22" t="s">
        <v>231</v>
      </c>
      <c r="Y8" s="22" t="s">
        <v>232</v>
      </c>
      <c r="Z8" s="22" t="s">
        <v>233</v>
      </c>
      <c r="AA8" s="22" t="s">
        <v>234</v>
      </c>
      <c r="AB8" s="22" t="s">
        <v>235</v>
      </c>
      <c r="AC8" s="22" t="s">
        <v>236</v>
      </c>
      <c r="AD8" s="90" t="s">
        <v>712</v>
      </c>
      <c r="AE8" s="16" t="s">
        <v>713</v>
      </c>
      <c r="AF8" s="22" t="s">
        <v>237</v>
      </c>
      <c r="AG8" s="22"/>
      <c r="AH8" s="19" t="s">
        <v>684</v>
      </c>
      <c r="AI8" s="19"/>
      <c r="AJ8" s="21" t="s">
        <v>684</v>
      </c>
      <c r="AK8" s="269" t="s">
        <v>737</v>
      </c>
      <c r="AL8" s="269" t="s">
        <v>482</v>
      </c>
      <c r="AM8" s="434" t="s">
        <v>320</v>
      </c>
      <c r="AN8" s="25"/>
      <c r="AO8" s="19" t="s">
        <v>421</v>
      </c>
      <c r="AP8" s="25"/>
    </row>
    <row r="9" spans="2:42" s="700" customFormat="1" ht="127.5">
      <c r="B9" s="16" t="s">
        <v>695</v>
      </c>
      <c r="C9" s="16" t="s">
        <v>696</v>
      </c>
      <c r="D9" s="16" t="s">
        <v>738</v>
      </c>
      <c r="E9" s="701" t="s">
        <v>757</v>
      </c>
      <c r="F9" s="701"/>
      <c r="G9" s="701"/>
      <c r="H9" s="701"/>
      <c r="I9" s="701" t="s">
        <v>238</v>
      </c>
      <c r="J9" s="701" t="s">
        <v>239</v>
      </c>
      <c r="K9" s="701" t="s">
        <v>240</v>
      </c>
      <c r="L9" s="18" t="s">
        <v>241</v>
      </c>
      <c r="M9" s="701" t="s">
        <v>242</v>
      </c>
      <c r="N9" s="701" t="s">
        <v>243</v>
      </c>
      <c r="O9" s="701" t="s">
        <v>244</v>
      </c>
      <c r="P9" s="701" t="s">
        <v>245</v>
      </c>
      <c r="Q9" s="701" t="s">
        <v>226</v>
      </c>
      <c r="R9" s="701" t="s">
        <v>245</v>
      </c>
      <c r="S9" s="701" t="s">
        <v>246</v>
      </c>
      <c r="T9" s="701" t="s">
        <v>247</v>
      </c>
      <c r="U9" s="701" t="s">
        <v>248</v>
      </c>
      <c r="V9" s="702" t="s">
        <v>249</v>
      </c>
      <c r="W9" s="702"/>
      <c r="X9" s="702"/>
      <c r="Y9" s="701" t="s">
        <v>250</v>
      </c>
      <c r="Z9" s="701" t="s">
        <v>240</v>
      </c>
      <c r="AA9" s="25" t="s">
        <v>251</v>
      </c>
      <c r="AB9" s="703" t="s">
        <v>252</v>
      </c>
      <c r="AC9" s="703" t="s">
        <v>253</v>
      </c>
      <c r="AD9" s="16" t="s">
        <v>735</v>
      </c>
      <c r="AE9" s="16" t="s">
        <v>713</v>
      </c>
      <c r="AF9" s="703" t="s">
        <v>254</v>
      </c>
      <c r="AG9" s="701" t="s">
        <v>255</v>
      </c>
      <c r="AH9" s="701" t="s">
        <v>255</v>
      </c>
      <c r="AI9" s="701"/>
      <c r="AJ9" s="703"/>
      <c r="AK9" s="269" t="s">
        <v>486</v>
      </c>
      <c r="AL9" s="269" t="s">
        <v>530</v>
      </c>
      <c r="AM9" s="436" t="s">
        <v>684</v>
      </c>
      <c r="AN9" s="703" t="s">
        <v>684</v>
      </c>
      <c r="AO9" s="703" t="s">
        <v>256</v>
      </c>
      <c r="AP9" s="703"/>
    </row>
    <row r="10" spans="2:42" s="8" customFormat="1" ht="51">
      <c r="B10" s="29" t="s">
        <v>770</v>
      </c>
      <c r="C10" s="29" t="s">
        <v>770</v>
      </c>
      <c r="D10" s="29" t="s">
        <v>257</v>
      </c>
      <c r="E10" s="628" t="s">
        <v>813</v>
      </c>
      <c r="F10" s="628" t="s">
        <v>814</v>
      </c>
      <c r="G10" s="628" t="s">
        <v>687</v>
      </c>
      <c r="H10" s="629" t="s">
        <v>815</v>
      </c>
      <c r="I10" s="29" t="s">
        <v>770</v>
      </c>
      <c r="J10" s="29" t="s">
        <v>770</v>
      </c>
      <c r="K10" s="29" t="s">
        <v>258</v>
      </c>
      <c r="L10" s="29" t="s">
        <v>770</v>
      </c>
      <c r="M10" s="29" t="s">
        <v>258</v>
      </c>
      <c r="N10" s="29" t="s">
        <v>770</v>
      </c>
      <c r="O10" s="704" t="s">
        <v>770</v>
      </c>
      <c r="P10" s="29"/>
      <c r="Q10" s="29"/>
      <c r="R10" s="29"/>
      <c r="S10" s="29" t="s">
        <v>259</v>
      </c>
      <c r="T10" s="29"/>
      <c r="U10" s="29"/>
      <c r="V10" s="29" t="s">
        <v>684</v>
      </c>
      <c r="W10" s="29"/>
      <c r="X10" s="29"/>
      <c r="Y10" s="29"/>
      <c r="Z10" s="29"/>
      <c r="AA10" s="29" t="s">
        <v>770</v>
      </c>
      <c r="AB10" s="29" t="s">
        <v>72</v>
      </c>
      <c r="AC10" s="29" t="s">
        <v>771</v>
      </c>
      <c r="AD10" s="705" t="s">
        <v>764</v>
      </c>
      <c r="AE10" s="705" t="s">
        <v>765</v>
      </c>
      <c r="AF10" s="29" t="s">
        <v>260</v>
      </c>
      <c r="AG10" s="29" t="s">
        <v>260</v>
      </c>
      <c r="AH10" s="29" t="s">
        <v>260</v>
      </c>
      <c r="AI10" s="29"/>
      <c r="AJ10" s="29"/>
      <c r="AK10" s="705" t="s">
        <v>684</v>
      </c>
      <c r="AL10" s="705"/>
      <c r="AM10" s="705"/>
      <c r="AN10" s="29"/>
      <c r="AO10" s="29"/>
      <c r="AP10" s="706"/>
    </row>
    <row r="11" spans="1:43" s="46" customFormat="1" ht="49.5" customHeight="1">
      <c r="A11" s="795" t="s">
        <v>774</v>
      </c>
      <c r="B11" s="641">
        <v>46</v>
      </c>
      <c r="C11" s="640" t="s">
        <v>1116</v>
      </c>
      <c r="D11" s="232" t="s">
        <v>261</v>
      </c>
      <c r="E11" s="642">
        <v>98000</v>
      </c>
      <c r="F11" s="642">
        <v>15000</v>
      </c>
      <c r="G11" s="642">
        <v>83000</v>
      </c>
      <c r="H11" s="644">
        <f>F11/E11</f>
        <v>0.15306122448979592</v>
      </c>
      <c r="I11" s="34">
        <v>65</v>
      </c>
      <c r="J11" s="34">
        <v>986</v>
      </c>
      <c r="K11" s="1" t="s">
        <v>375</v>
      </c>
      <c r="L11" s="707">
        <v>0.8</v>
      </c>
      <c r="M11" s="34">
        <v>1</v>
      </c>
      <c r="N11" s="708">
        <v>0.029</v>
      </c>
      <c r="O11" s="535">
        <v>0</v>
      </c>
      <c r="P11" s="282" t="s">
        <v>262</v>
      </c>
      <c r="Q11" s="282">
        <f>J11*0.25*(17.6-18.8*L11)/100</f>
        <v>6.3104000000000005</v>
      </c>
      <c r="R11" t="s">
        <v>263</v>
      </c>
      <c r="S11">
        <f>EXP(4.625-4.309*L11)</f>
        <v>3.2472224494566286</v>
      </c>
      <c r="T11" s="709">
        <v>0.15</v>
      </c>
      <c r="U11" s="709">
        <f>IF(N11&lt;5%,M11*(1+O11/11),M11*(1+(N11-5)/100*5)*(1+O11/100))</f>
        <v>1</v>
      </c>
      <c r="V11" s="35">
        <f>Q11/100*J11*S11*U11*T11</f>
        <v>30.30659209413059</v>
      </c>
      <c r="W11" s="36">
        <f>'[1]Scoresheets'!C103</f>
        <v>0.5</v>
      </c>
      <c r="X11" s="710">
        <f>1-0.15*W11</f>
        <v>0.925</v>
      </c>
      <c r="Y11" s="19" t="s">
        <v>264</v>
      </c>
      <c r="Z11" s="1" t="s">
        <v>375</v>
      </c>
      <c r="AA11" s="581">
        <v>0.8</v>
      </c>
      <c r="AB11" s="35">
        <f>J11*0.25*(17.6-18.8*AA11)/100*EXP(4.625-4.309*AA11)*U11</f>
        <v>20.49127254505111</v>
      </c>
      <c r="AC11" s="35">
        <f>(V11-AB11)*X11</f>
        <v>9.079170582898518</v>
      </c>
      <c r="AD11" s="40">
        <v>1</v>
      </c>
      <c r="AE11" s="40">
        <v>1</v>
      </c>
      <c r="AF11" s="36">
        <f>AC11*$AD11*AE11*I11/1000</f>
        <v>0.5901460878884037</v>
      </c>
      <c r="AG11" s="41">
        <v>115544</v>
      </c>
      <c r="AH11" s="41">
        <f>AG11</f>
        <v>115544</v>
      </c>
      <c r="AI11" s="41">
        <f>AG11+AH11</f>
        <v>231088</v>
      </c>
      <c r="AJ11" s="42">
        <f>AF11/AI11</f>
        <v>2.5537721036505735E-06</v>
      </c>
      <c r="AK11" s="40">
        <f>'Verification score'!M40</f>
        <v>0.25</v>
      </c>
      <c r="AL11" s="40">
        <f>'Data entry'!AU3</f>
        <v>0.1</v>
      </c>
      <c r="AM11" s="783">
        <f>AJ11*(1+AK11*AL11)*100</f>
        <v>0.0002617616406241838</v>
      </c>
      <c r="AN11" s="784">
        <f>G11</f>
        <v>83000</v>
      </c>
      <c r="AO11" s="785">
        <f>AM11/AN11</f>
        <v>3.1537547063154674E-09</v>
      </c>
      <c r="AP11" s="44"/>
      <c r="AQ11" s="795" t="s">
        <v>265</v>
      </c>
    </row>
    <row r="12" spans="1:43" s="46" customFormat="1" ht="49.5" customHeight="1">
      <c r="A12" s="796"/>
      <c r="B12" s="647">
        <v>49</v>
      </c>
      <c r="C12" s="640" t="s">
        <v>1116</v>
      </c>
      <c r="D12" s="232" t="s">
        <v>266</v>
      </c>
      <c r="E12" s="648">
        <v>45815.05</v>
      </c>
      <c r="F12" s="648">
        <v>30474.4</v>
      </c>
      <c r="G12" s="648">
        <v>15340.650000000001</v>
      </c>
      <c r="H12" s="644">
        <f aca="true" t="shared" si="0" ref="H12:H19">F12/E12</f>
        <v>0.6651613389050105</v>
      </c>
      <c r="I12" s="34">
        <v>247</v>
      </c>
      <c r="J12" s="34">
        <v>636</v>
      </c>
      <c r="K12" s="658" t="s">
        <v>267</v>
      </c>
      <c r="L12" s="711">
        <v>0.5</v>
      </c>
      <c r="M12" s="34">
        <v>1</v>
      </c>
      <c r="N12" s="708">
        <v>0.029</v>
      </c>
      <c r="O12" s="92">
        <v>0</v>
      </c>
      <c r="P12" s="282" t="s">
        <v>262</v>
      </c>
      <c r="Q12" s="282">
        <f aca="true" t="shared" si="1" ref="Q12:Q19">J12*0.25*(17.6-18.8*L12)/100</f>
        <v>13.038000000000002</v>
      </c>
      <c r="R12" t="s">
        <v>263</v>
      </c>
      <c r="S12">
        <f aca="true" t="shared" si="2" ref="S12:S19">EXP(4.625-4.309*L12)</f>
        <v>11.828359553124372</v>
      </c>
      <c r="T12" s="709">
        <v>0.15</v>
      </c>
      <c r="U12" s="709">
        <f aca="true" t="shared" si="3" ref="U12:U19">IF(N12&lt;5%,M12*(1+O12/11),M12*(1+(N12-5)/100*5)*(1+O12/100))</f>
        <v>1</v>
      </c>
      <c r="V12" s="35">
        <f aca="true" t="shared" si="4" ref="V12:V19">Q12/100*J12*S12*U12*T12</f>
        <v>147.12411686836833</v>
      </c>
      <c r="W12" s="36">
        <f>'[1]Scoresheets'!D103</f>
        <v>1</v>
      </c>
      <c r="X12" s="710">
        <f aca="true" t="shared" si="5" ref="X12:X19">1-0.15*W12</f>
        <v>0.85</v>
      </c>
      <c r="Y12" s="712" t="s">
        <v>268</v>
      </c>
      <c r="Z12" t="s">
        <v>378</v>
      </c>
      <c r="AA12" s="552">
        <v>0.55</v>
      </c>
      <c r="AB12" s="35">
        <f aca="true" t="shared" si="6" ref="AB12:AB19">J12*0.25*(17.6-18.8*AA12)/100*EXP(4.625-4.309*AA12)*U12</f>
        <v>110.0752084191773</v>
      </c>
      <c r="AC12" s="35">
        <f aca="true" t="shared" si="7" ref="AC12:AC19">(V12-AB12)*X12</f>
        <v>31.491572181812376</v>
      </c>
      <c r="AD12" s="713">
        <v>5</v>
      </c>
      <c r="AE12" s="40">
        <v>1</v>
      </c>
      <c r="AF12" s="36">
        <f aca="true" t="shared" si="8" ref="AF12:AF19">AC12*$AD12*AE12*I12/1000</f>
        <v>38.89209164453828</v>
      </c>
      <c r="AG12" s="41">
        <v>115544</v>
      </c>
      <c r="AH12" s="41">
        <f aca="true" t="shared" si="9" ref="AH12:AH19">AG12</f>
        <v>115544</v>
      </c>
      <c r="AI12" s="41">
        <f aca="true" t="shared" si="10" ref="AI12:AI19">AG12+AH12</f>
        <v>231088</v>
      </c>
      <c r="AJ12" s="42">
        <f aca="true" t="shared" si="11" ref="AJ12:AJ19">AF12/AI12</f>
        <v>0.00016829991883844374</v>
      </c>
      <c r="AK12" s="40">
        <f>'Verification score'!M42</f>
        <v>0.25</v>
      </c>
      <c r="AL12" s="40">
        <f>'Data entry'!AU3</f>
        <v>0.1</v>
      </c>
      <c r="AM12" s="783">
        <f aca="true" t="shared" si="12" ref="AM12:AM19">AJ12*(1+AK12*AL12)*100</f>
        <v>0.01725074168094048</v>
      </c>
      <c r="AN12" s="784">
        <f aca="true" t="shared" si="13" ref="AN12:AN19">G12</f>
        <v>15340.650000000001</v>
      </c>
      <c r="AO12" s="785">
        <f aca="true" t="shared" si="14" ref="AO12:AO19">AM12/AN12</f>
        <v>1.124511782808452E-06</v>
      </c>
      <c r="AQ12" s="795"/>
    </row>
    <row r="13" spans="1:43" s="46" customFormat="1" ht="49.5" customHeight="1">
      <c r="A13" s="796"/>
      <c r="B13" s="653" t="s">
        <v>801</v>
      </c>
      <c r="C13" s="640" t="s">
        <v>1116</v>
      </c>
      <c r="D13" s="232" t="s">
        <v>269</v>
      </c>
      <c r="E13" s="654">
        <v>4000</v>
      </c>
      <c r="F13" s="654">
        <v>500</v>
      </c>
      <c r="G13" s="654">
        <v>3500</v>
      </c>
      <c r="H13" s="644">
        <f t="shared" si="0"/>
        <v>0.125</v>
      </c>
      <c r="I13" s="34">
        <v>500</v>
      </c>
      <c r="J13" s="34">
        <v>986</v>
      </c>
      <c r="K13" s="714" t="s">
        <v>270</v>
      </c>
      <c r="L13" s="715">
        <v>0.45</v>
      </c>
      <c r="M13" s="34">
        <v>1</v>
      </c>
      <c r="N13" s="708">
        <v>0.029</v>
      </c>
      <c r="O13" s="92">
        <v>0</v>
      </c>
      <c r="P13" s="282" t="s">
        <v>262</v>
      </c>
      <c r="Q13" s="282">
        <f t="shared" si="1"/>
        <v>22.5301</v>
      </c>
      <c r="R13" t="s">
        <v>263</v>
      </c>
      <c r="S13">
        <f t="shared" si="2"/>
        <v>14.672133288182419</v>
      </c>
      <c r="T13" s="709">
        <v>0.15</v>
      </c>
      <c r="U13" s="709">
        <f t="shared" si="3"/>
        <v>1</v>
      </c>
      <c r="V13" s="35">
        <f t="shared" si="4"/>
        <v>488.90508806000037</v>
      </c>
      <c r="W13" s="36">
        <f>'[1]Scoresheets'!E103</f>
        <v>0.4</v>
      </c>
      <c r="X13" s="710">
        <f t="shared" si="5"/>
        <v>0.94</v>
      </c>
      <c r="Y13" s="712" t="s">
        <v>271</v>
      </c>
      <c r="Z13"/>
      <c r="AA13" s="552">
        <v>0.5</v>
      </c>
      <c r="AB13" s="35">
        <f t="shared" si="6"/>
        <v>239.08663164730294</v>
      </c>
      <c r="AC13" s="35">
        <f t="shared" si="7"/>
        <v>234.82934902793556</v>
      </c>
      <c r="AD13" s="40">
        <v>1</v>
      </c>
      <c r="AE13" s="40">
        <v>1</v>
      </c>
      <c r="AF13" s="36">
        <f t="shared" si="8"/>
        <v>117.41467451396778</v>
      </c>
      <c r="AG13" s="41">
        <v>115544</v>
      </c>
      <c r="AH13" s="41">
        <f t="shared" si="9"/>
        <v>115544</v>
      </c>
      <c r="AI13" s="41">
        <f t="shared" si="10"/>
        <v>231088</v>
      </c>
      <c r="AJ13" s="42">
        <f t="shared" si="11"/>
        <v>0.0005080950742313222</v>
      </c>
      <c r="AK13" s="40">
        <f>'Verification score'!M46</f>
        <v>0.5108333333333334</v>
      </c>
      <c r="AL13" s="40">
        <f>'Data entry'!AU3</f>
        <v>0.1</v>
      </c>
      <c r="AM13" s="783">
        <f t="shared" si="12"/>
        <v>0.05340502642733056</v>
      </c>
      <c r="AN13" s="784">
        <f t="shared" si="13"/>
        <v>3500</v>
      </c>
      <c r="AO13" s="785">
        <f t="shared" si="14"/>
        <v>1.5258578979237304E-05</v>
      </c>
      <c r="AQ13" s="795"/>
    </row>
    <row r="14" spans="1:43" s="46" customFormat="1" ht="49.5" customHeight="1">
      <c r="A14" s="796"/>
      <c r="B14" s="662">
        <v>78</v>
      </c>
      <c r="C14" s="640" t="s">
        <v>1116</v>
      </c>
      <c r="D14" s="232" t="s">
        <v>272</v>
      </c>
      <c r="E14" s="663">
        <v>85454</v>
      </c>
      <c r="F14" s="663">
        <v>55454</v>
      </c>
      <c r="G14" s="663">
        <v>30000</v>
      </c>
      <c r="H14" s="644">
        <f t="shared" si="0"/>
        <v>0.6489339293655065</v>
      </c>
      <c r="I14" s="34">
        <v>24</v>
      </c>
      <c r="J14" s="34">
        <v>986</v>
      </c>
      <c r="K14" s="687" t="s">
        <v>273</v>
      </c>
      <c r="L14" s="716">
        <v>0.6</v>
      </c>
      <c r="M14" s="34">
        <v>1</v>
      </c>
      <c r="N14" s="708">
        <v>0.029</v>
      </c>
      <c r="O14" s="92">
        <v>0</v>
      </c>
      <c r="P14" s="282" t="s">
        <v>262</v>
      </c>
      <c r="Q14" s="282">
        <f t="shared" si="1"/>
        <v>15.578800000000006</v>
      </c>
      <c r="R14" t="s">
        <v>263</v>
      </c>
      <c r="S14">
        <f t="shared" si="2"/>
        <v>7.687533570366158</v>
      </c>
      <c r="T14" s="709">
        <v>0.15</v>
      </c>
      <c r="U14" s="709">
        <f t="shared" si="3"/>
        <v>1</v>
      </c>
      <c r="V14" s="35">
        <f t="shared" si="4"/>
        <v>177.1288084713241</v>
      </c>
      <c r="W14" s="36">
        <f>'[1]Scoresheets'!F103</f>
        <v>0.8</v>
      </c>
      <c r="X14" s="710">
        <f t="shared" si="5"/>
        <v>0.88</v>
      </c>
      <c r="Y14" s="712" t="s">
        <v>274</v>
      </c>
      <c r="Z14" s="687" t="s">
        <v>275</v>
      </c>
      <c r="AA14" s="581">
        <v>0.7</v>
      </c>
      <c r="AB14" s="35">
        <f t="shared" si="6"/>
        <v>54.682634112945394</v>
      </c>
      <c r="AC14" s="35">
        <f t="shared" si="7"/>
        <v>107.75263343537327</v>
      </c>
      <c r="AD14" s="40">
        <v>1</v>
      </c>
      <c r="AE14" s="40">
        <v>1</v>
      </c>
      <c r="AF14" s="36">
        <f t="shared" si="8"/>
        <v>2.5860632024489587</v>
      </c>
      <c r="AG14" s="41">
        <v>115544</v>
      </c>
      <c r="AH14" s="41">
        <f t="shared" si="9"/>
        <v>115544</v>
      </c>
      <c r="AI14" s="41">
        <f t="shared" si="10"/>
        <v>231088</v>
      </c>
      <c r="AJ14" s="42">
        <f t="shared" si="11"/>
        <v>1.1190815630621056E-05</v>
      </c>
      <c r="AK14" s="40">
        <f>'Verification score'!M64</f>
        <v>0.6057692307692308</v>
      </c>
      <c r="AL14" s="40">
        <f>'Data entry'!AU3</f>
        <v>0.1</v>
      </c>
      <c r="AM14" s="783">
        <f t="shared" si="12"/>
        <v>0.0011868720808245216</v>
      </c>
      <c r="AN14" s="784">
        <f t="shared" si="13"/>
        <v>30000</v>
      </c>
      <c r="AO14" s="785">
        <f t="shared" si="14"/>
        <v>3.956240269415072E-08</v>
      </c>
      <c r="AQ14" s="795"/>
    </row>
    <row r="15" spans="1:43" s="46" customFormat="1" ht="49.5" customHeight="1">
      <c r="A15" s="796"/>
      <c r="B15" s="634">
        <v>90</v>
      </c>
      <c r="C15" s="640" t="s">
        <v>1116</v>
      </c>
      <c r="D15" s="232" t="s">
        <v>266</v>
      </c>
      <c r="E15" s="635">
        <v>27722</v>
      </c>
      <c r="F15" s="635">
        <v>17488</v>
      </c>
      <c r="G15" s="635">
        <v>10234</v>
      </c>
      <c r="H15" s="644">
        <f t="shared" si="0"/>
        <v>0.6308347161099488</v>
      </c>
      <c r="I15" s="34">
        <v>2000</v>
      </c>
      <c r="J15" s="34">
        <v>636</v>
      </c>
      <c r="K15" s="717" t="s">
        <v>267</v>
      </c>
      <c r="L15" s="552">
        <v>0.5</v>
      </c>
      <c r="M15" s="34">
        <v>1</v>
      </c>
      <c r="N15" s="718">
        <v>0.07</v>
      </c>
      <c r="O15" s="92">
        <v>0</v>
      </c>
      <c r="P15" s="282" t="s">
        <v>262</v>
      </c>
      <c r="Q15" s="282">
        <f t="shared" si="1"/>
        <v>13.038000000000002</v>
      </c>
      <c r="R15" t="s">
        <v>263</v>
      </c>
      <c r="S15">
        <f t="shared" si="2"/>
        <v>11.828359553124372</v>
      </c>
      <c r="T15" s="709">
        <v>0.15</v>
      </c>
      <c r="U15" s="709">
        <f t="shared" si="3"/>
        <v>0.7535000000000001</v>
      </c>
      <c r="V15" s="35">
        <f t="shared" si="4"/>
        <v>110.85802206031555</v>
      </c>
      <c r="W15" s="36">
        <f>'[1]Scoresheets'!G103</f>
        <v>0.6</v>
      </c>
      <c r="X15" s="710">
        <f t="shared" si="5"/>
        <v>0.91</v>
      </c>
      <c r="Y15" s="712" t="s">
        <v>276</v>
      </c>
      <c r="Z15" s="658" t="s">
        <v>378</v>
      </c>
      <c r="AA15" s="552">
        <v>0.6</v>
      </c>
      <c r="AB15" s="35">
        <f t="shared" si="6"/>
        <v>58.20824221211825</v>
      </c>
      <c r="AC15" s="35">
        <f t="shared" si="7"/>
        <v>47.911299661859545</v>
      </c>
      <c r="AD15" s="40">
        <v>1</v>
      </c>
      <c r="AE15" s="40">
        <v>1</v>
      </c>
      <c r="AF15" s="36">
        <f t="shared" si="8"/>
        <v>95.82259932371909</v>
      </c>
      <c r="AG15" s="41">
        <v>115544</v>
      </c>
      <c r="AH15" s="41">
        <f t="shared" si="9"/>
        <v>115544</v>
      </c>
      <c r="AI15" s="41">
        <f t="shared" si="10"/>
        <v>231088</v>
      </c>
      <c r="AJ15" s="42">
        <f t="shared" si="11"/>
        <v>0.00041465848215276903</v>
      </c>
      <c r="AK15" s="40">
        <f>'Verification score'!M73</f>
        <v>0.4807692307692308</v>
      </c>
      <c r="AL15" s="40">
        <f>'Data entry'!AU3</f>
        <v>0.1</v>
      </c>
      <c r="AM15" s="783">
        <f t="shared" si="12"/>
        <v>0.04345939861024214</v>
      </c>
      <c r="AN15" s="784">
        <f t="shared" si="13"/>
        <v>10234</v>
      </c>
      <c r="AO15" s="785">
        <f t="shared" si="14"/>
        <v>4.24657012021127E-06</v>
      </c>
      <c r="AQ15" s="795"/>
    </row>
    <row r="16" spans="1:43" s="46" customFormat="1" ht="49.5" customHeight="1">
      <c r="A16" s="796"/>
      <c r="B16" s="634">
        <v>91</v>
      </c>
      <c r="C16" s="640" t="s">
        <v>1116</v>
      </c>
      <c r="D16" s="232" t="s">
        <v>266</v>
      </c>
      <c r="E16" s="635">
        <v>30000</v>
      </c>
      <c r="F16" s="635">
        <v>15200</v>
      </c>
      <c r="G16" s="635">
        <v>14800</v>
      </c>
      <c r="H16" s="644">
        <f t="shared" si="0"/>
        <v>0.5066666666666667</v>
      </c>
      <c r="I16" s="34">
        <v>200</v>
      </c>
      <c r="J16" s="34">
        <v>636</v>
      </c>
      <c r="K16" s="717" t="s">
        <v>277</v>
      </c>
      <c r="L16" s="552">
        <v>0.4</v>
      </c>
      <c r="M16" s="34">
        <v>1</v>
      </c>
      <c r="N16">
        <v>2.9</v>
      </c>
      <c r="O16" s="92">
        <v>0</v>
      </c>
      <c r="P16" s="282" t="s">
        <v>262</v>
      </c>
      <c r="Q16" s="282">
        <f t="shared" si="1"/>
        <v>16.027200000000004</v>
      </c>
      <c r="R16" t="s">
        <v>263</v>
      </c>
      <c r="S16">
        <f t="shared" si="2"/>
        <v>18.19960699193729</v>
      </c>
      <c r="T16" s="709">
        <v>0.15</v>
      </c>
      <c r="U16" s="709">
        <f t="shared" si="3"/>
        <v>0.895</v>
      </c>
      <c r="V16" s="35">
        <f t="shared" si="4"/>
        <v>249.0525978827247</v>
      </c>
      <c r="W16" s="36">
        <f>'[1]Scoresheets'!H103</f>
        <v>0.9</v>
      </c>
      <c r="X16" s="710">
        <f t="shared" si="5"/>
        <v>0.865</v>
      </c>
      <c r="Y16" s="712" t="s">
        <v>278</v>
      </c>
      <c r="Z16" s="658" t="s">
        <v>279</v>
      </c>
      <c r="AA16" s="552">
        <v>0.8</v>
      </c>
      <c r="AB16" s="35">
        <f t="shared" si="6"/>
        <v>11.829657361150097</v>
      </c>
      <c r="AC16" s="35">
        <f t="shared" si="7"/>
        <v>205.19784355116204</v>
      </c>
      <c r="AD16" s="40">
        <v>5</v>
      </c>
      <c r="AE16" s="40">
        <v>1</v>
      </c>
      <c r="AF16" s="36">
        <f t="shared" si="8"/>
        <v>205.197843551162</v>
      </c>
      <c r="AG16" s="41">
        <v>115544</v>
      </c>
      <c r="AH16" s="41">
        <f t="shared" si="9"/>
        <v>115544</v>
      </c>
      <c r="AI16" s="41">
        <f t="shared" si="10"/>
        <v>231088</v>
      </c>
      <c r="AJ16" s="42">
        <f t="shared" si="11"/>
        <v>0.0008879640810044745</v>
      </c>
      <c r="AK16" s="40">
        <f>'Verification score'!M74</f>
        <v>0.2692307692307692</v>
      </c>
      <c r="AL16" s="40">
        <f>'Data entry'!AU3</f>
        <v>0.1</v>
      </c>
      <c r="AM16" s="783">
        <f t="shared" si="12"/>
        <v>0.09118708062622871</v>
      </c>
      <c r="AN16" s="784">
        <f t="shared" si="13"/>
        <v>14800</v>
      </c>
      <c r="AO16" s="785">
        <f t="shared" si="14"/>
        <v>6.16128923150194E-06</v>
      </c>
      <c r="AQ16" s="795"/>
    </row>
    <row r="17" spans="1:43" s="46" customFormat="1" ht="49.5" customHeight="1">
      <c r="A17" s="796"/>
      <c r="B17" s="634">
        <v>92</v>
      </c>
      <c r="C17" s="640" t="s">
        <v>1116</v>
      </c>
      <c r="D17" s="232" t="s">
        <v>280</v>
      </c>
      <c r="E17" s="635">
        <v>70000</v>
      </c>
      <c r="F17" s="635">
        <v>20000</v>
      </c>
      <c r="G17" s="635">
        <v>50000</v>
      </c>
      <c r="H17" s="644">
        <f t="shared" si="0"/>
        <v>0.2857142857142857</v>
      </c>
      <c r="I17" s="34">
        <v>20</v>
      </c>
      <c r="J17" s="34">
        <v>986</v>
      </c>
      <c r="K17" s="717" t="s">
        <v>281</v>
      </c>
      <c r="L17" s="552">
        <v>0.7</v>
      </c>
      <c r="M17" s="34">
        <v>1</v>
      </c>
      <c r="N17">
        <v>2.9</v>
      </c>
      <c r="O17" s="92">
        <v>0</v>
      </c>
      <c r="P17" s="282" t="s">
        <v>262</v>
      </c>
      <c r="Q17" s="282">
        <f t="shared" si="1"/>
        <v>10.944600000000003</v>
      </c>
      <c r="R17" t="s">
        <v>263</v>
      </c>
      <c r="S17">
        <f t="shared" si="2"/>
        <v>4.996311798781625</v>
      </c>
      <c r="T17" s="709">
        <v>0.15</v>
      </c>
      <c r="U17" s="709">
        <f t="shared" si="3"/>
        <v>0.895</v>
      </c>
      <c r="V17" s="35">
        <f t="shared" si="4"/>
        <v>72.38367618847639</v>
      </c>
      <c r="W17" s="36">
        <f>'[1]Scoresheets'!I103</f>
        <v>1</v>
      </c>
      <c r="X17" s="710">
        <f t="shared" si="5"/>
        <v>0.85</v>
      </c>
      <c r="Y17" s="712" t="s">
        <v>282</v>
      </c>
      <c r="Z17" t="s">
        <v>281</v>
      </c>
      <c r="AA17" s="552">
        <v>0.75</v>
      </c>
      <c r="AB17" s="35">
        <f t="shared" si="6"/>
        <v>31.1020338851372</v>
      </c>
      <c r="AC17" s="35">
        <f t="shared" si="7"/>
        <v>35.089395957838306</v>
      </c>
      <c r="AD17" s="40">
        <v>1</v>
      </c>
      <c r="AE17" s="40">
        <v>1</v>
      </c>
      <c r="AF17" s="36">
        <f t="shared" si="8"/>
        <v>0.7017879191567661</v>
      </c>
      <c r="AG17" s="41">
        <v>115544</v>
      </c>
      <c r="AH17" s="41">
        <f t="shared" si="9"/>
        <v>115544</v>
      </c>
      <c r="AI17" s="41">
        <f t="shared" si="10"/>
        <v>231088</v>
      </c>
      <c r="AJ17" s="42">
        <f t="shared" si="11"/>
        <v>3.0368860311083486E-06</v>
      </c>
      <c r="AK17" s="40">
        <f>'Verification score'!M75</f>
        <v>0.11538461538461539</v>
      </c>
      <c r="AL17" s="40">
        <f>'Data entry'!AU3</f>
        <v>0.1</v>
      </c>
      <c r="AM17" s="783">
        <f t="shared" si="12"/>
        <v>0.0003071927023774983</v>
      </c>
      <c r="AN17" s="784">
        <f t="shared" si="13"/>
        <v>50000</v>
      </c>
      <c r="AO17" s="785">
        <f t="shared" si="14"/>
        <v>6.143854047549966E-09</v>
      </c>
      <c r="AQ17" s="795"/>
    </row>
    <row r="18" spans="1:43" s="46" customFormat="1" ht="49.5" customHeight="1">
      <c r="A18" s="796"/>
      <c r="B18" s="634">
        <v>93</v>
      </c>
      <c r="C18" s="640" t="s">
        <v>1116</v>
      </c>
      <c r="D18" s="232" t="s">
        <v>280</v>
      </c>
      <c r="E18" s="635">
        <v>78917.45</v>
      </c>
      <c r="F18" s="635">
        <v>0</v>
      </c>
      <c r="G18" s="635">
        <v>78917.45</v>
      </c>
      <c r="H18" s="644">
        <f t="shared" si="0"/>
        <v>0</v>
      </c>
      <c r="I18" s="34">
        <v>69</v>
      </c>
      <c r="J18" s="34">
        <v>986</v>
      </c>
      <c r="K18" s="717" t="s">
        <v>270</v>
      </c>
      <c r="L18" s="552">
        <v>0.45</v>
      </c>
      <c r="M18" s="34">
        <v>1</v>
      </c>
      <c r="N18">
        <v>2.9</v>
      </c>
      <c r="O18" s="92">
        <v>0.2</v>
      </c>
      <c r="P18" s="282" t="s">
        <v>262</v>
      </c>
      <c r="Q18" s="282">
        <f t="shared" si="1"/>
        <v>22.5301</v>
      </c>
      <c r="R18" t="s">
        <v>263</v>
      </c>
      <c r="S18">
        <f t="shared" si="2"/>
        <v>14.672133288182419</v>
      </c>
      <c r="T18" s="709">
        <v>0.15</v>
      </c>
      <c r="U18" s="709">
        <f t="shared" si="3"/>
        <v>0.89679</v>
      </c>
      <c r="V18" s="35">
        <f t="shared" si="4"/>
        <v>438.44519392132776</v>
      </c>
      <c r="W18" s="36">
        <f>'[1]Scoresheets'!J103</f>
        <v>0.6</v>
      </c>
      <c r="X18" s="710">
        <f t="shared" si="5"/>
        <v>0.91</v>
      </c>
      <c r="Y18" s="712" t="s">
        <v>283</v>
      </c>
      <c r="Z18"/>
      <c r="AA18" s="552">
        <v>0.5</v>
      </c>
      <c r="AB18" s="35">
        <f t="shared" si="6"/>
        <v>214.4105003949848</v>
      </c>
      <c r="AC18" s="35">
        <f t="shared" si="7"/>
        <v>203.8715711089721</v>
      </c>
      <c r="AD18" s="40">
        <v>1</v>
      </c>
      <c r="AE18" s="40">
        <v>1</v>
      </c>
      <c r="AF18" s="36">
        <f t="shared" si="8"/>
        <v>14.067138406519074</v>
      </c>
      <c r="AG18" s="41">
        <v>115544</v>
      </c>
      <c r="AH18" s="41">
        <f t="shared" si="9"/>
        <v>115544</v>
      </c>
      <c r="AI18" s="41">
        <f t="shared" si="10"/>
        <v>231088</v>
      </c>
      <c r="AJ18" s="42">
        <f t="shared" si="11"/>
        <v>6.0873513148753176E-05</v>
      </c>
      <c r="AK18" s="40">
        <f>'Verification score'!M76</f>
        <v>0.4903846153846154</v>
      </c>
      <c r="AL18" s="40">
        <f>'Data entry'!AU3</f>
        <v>0.1</v>
      </c>
      <c r="AM18" s="783">
        <f t="shared" si="12"/>
        <v>0.006385865658200934</v>
      </c>
      <c r="AN18" s="784">
        <f t="shared" si="13"/>
        <v>78917.45</v>
      </c>
      <c r="AO18" s="785">
        <f t="shared" si="14"/>
        <v>8.091829700783457E-08</v>
      </c>
      <c r="AQ18" s="795"/>
    </row>
    <row r="19" spans="1:43" s="46" customFormat="1" ht="49.5" customHeight="1">
      <c r="A19" s="796"/>
      <c r="B19" s="58">
        <v>60</v>
      </c>
      <c r="C19" s="58" t="s">
        <v>1116</v>
      </c>
      <c r="D19" s="719" t="s">
        <v>284</v>
      </c>
      <c r="E19" s="720">
        <v>100000</v>
      </c>
      <c r="F19" s="720">
        <v>50000</v>
      </c>
      <c r="G19" s="720">
        <v>50000</v>
      </c>
      <c r="H19" s="644">
        <f t="shared" si="0"/>
        <v>0.5</v>
      </c>
      <c r="I19" s="34">
        <v>100</v>
      </c>
      <c r="J19" s="34">
        <v>800</v>
      </c>
      <c r="K19" s="34" t="s">
        <v>270</v>
      </c>
      <c r="L19" s="721">
        <v>0.45</v>
      </c>
      <c r="M19" s="34">
        <v>1</v>
      </c>
      <c r="N19" s="34">
        <v>5</v>
      </c>
      <c r="O19" s="92">
        <f>'[1]Stream frontage area'!H19</f>
        <v>0.5</v>
      </c>
      <c r="P19" s="282" t="s">
        <v>262</v>
      </c>
      <c r="Q19" s="282">
        <f t="shared" si="1"/>
        <v>18.28</v>
      </c>
      <c r="R19" t="s">
        <v>263</v>
      </c>
      <c r="S19">
        <f t="shared" si="2"/>
        <v>14.672133288182419</v>
      </c>
      <c r="T19" s="709">
        <v>0.15</v>
      </c>
      <c r="U19" s="709">
        <f t="shared" si="3"/>
        <v>1.005</v>
      </c>
      <c r="V19" s="35">
        <f t="shared" si="4"/>
        <v>323.4571553886173</v>
      </c>
      <c r="W19" s="36">
        <f>'[1]Scoresheets'!K103</f>
        <v>1.1</v>
      </c>
      <c r="X19" s="710">
        <f t="shared" si="5"/>
        <v>0.835</v>
      </c>
      <c r="Y19" s="722"/>
      <c r="Z19" s="722"/>
      <c r="AA19" s="722">
        <v>0.5</v>
      </c>
      <c r="AB19" s="35">
        <f t="shared" si="6"/>
        <v>194.9550221545959</v>
      </c>
      <c r="AC19" s="35">
        <f t="shared" si="7"/>
        <v>107.29928125040787</v>
      </c>
      <c r="AD19" s="40">
        <v>1</v>
      </c>
      <c r="AE19" s="40">
        <v>1</v>
      </c>
      <c r="AF19" s="36">
        <f t="shared" si="8"/>
        <v>10.729928125040788</v>
      </c>
      <c r="AG19" s="41">
        <v>115544</v>
      </c>
      <c r="AH19" s="41">
        <f t="shared" si="9"/>
        <v>115544</v>
      </c>
      <c r="AI19" s="41">
        <f t="shared" si="10"/>
        <v>231088</v>
      </c>
      <c r="AJ19" s="42">
        <f t="shared" si="11"/>
        <v>4.643221683964891E-05</v>
      </c>
      <c r="AK19" s="40">
        <f>'Verification score'!M90</f>
        <v>0.34615384615384615</v>
      </c>
      <c r="AL19" s="40">
        <f>'Data entry'!AU3</f>
        <v>0.1</v>
      </c>
      <c r="AM19" s="783">
        <f t="shared" si="12"/>
        <v>0.00480394858840983</v>
      </c>
      <c r="AN19" s="784">
        <f t="shared" si="13"/>
        <v>50000</v>
      </c>
      <c r="AO19" s="785">
        <f t="shared" si="14"/>
        <v>9.60789717681966E-08</v>
      </c>
      <c r="AQ19" s="795"/>
    </row>
    <row r="20" ht="30" customHeight="1">
      <c r="AO20" s="46" t="s">
        <v>684</v>
      </c>
    </row>
    <row r="21" spans="16:41" ht="30" customHeight="1">
      <c r="P21" t="s">
        <v>684</v>
      </c>
      <c r="AO21" s="46" t="s">
        <v>684</v>
      </c>
    </row>
    <row r="22" ht="30" customHeight="1">
      <c r="AO22" s="46" t="s">
        <v>684</v>
      </c>
    </row>
    <row r="23" spans="1:43" ht="70.5" customHeight="1">
      <c r="A23" s="15" t="s">
        <v>684</v>
      </c>
      <c r="E23" s="19" t="s">
        <v>684</v>
      </c>
      <c r="F23" s="19"/>
      <c r="G23" s="19"/>
      <c r="H23" s="19"/>
      <c r="I23" s="19"/>
      <c r="J23" s="19"/>
      <c r="K23" s="19"/>
      <c r="L23" s="19"/>
      <c r="M23" s="19"/>
      <c r="N23" s="19"/>
      <c r="O23" s="19"/>
      <c r="P23" s="19"/>
      <c r="Q23" s="19"/>
      <c r="R23" s="19"/>
      <c r="S23" s="19"/>
      <c r="T23" s="19"/>
      <c r="U23" s="19"/>
      <c r="V23" s="19"/>
      <c r="W23" s="19"/>
      <c r="X23" s="19"/>
      <c r="Y23" s="19"/>
      <c r="Z23" s="19"/>
      <c r="AA23" s="19"/>
      <c r="AB23" s="19"/>
      <c r="AC23" s="19"/>
      <c r="AF23" s="19"/>
      <c r="AG23" s="19"/>
      <c r="AH23" s="19"/>
      <c r="AI23" s="19"/>
      <c r="AJ23" s="19"/>
      <c r="AN23" s="15" t="s">
        <v>285</v>
      </c>
      <c r="AO23" s="797" t="s">
        <v>286</v>
      </c>
      <c r="AP23" s="796"/>
      <c r="AQ23" s="796"/>
    </row>
  </sheetData>
  <sheetProtection/>
  <mergeCells count="13">
    <mergeCell ref="R7:T7"/>
    <mergeCell ref="Y7:AA7"/>
    <mergeCell ref="K1:O6"/>
    <mergeCell ref="P1:V6"/>
    <mergeCell ref="Y1:AC6"/>
    <mergeCell ref="AD1:AF6"/>
    <mergeCell ref="A11:A19"/>
    <mergeCell ref="AQ11:AQ19"/>
    <mergeCell ref="AO23:AQ23"/>
    <mergeCell ref="AG1:AJ6"/>
    <mergeCell ref="AK1:AO6"/>
    <mergeCell ref="B7:C7"/>
    <mergeCell ref="I7:O7"/>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BQ172"/>
  <sheetViews>
    <sheetView tabSelected="1" zoomScalePageLayoutView="0" workbookViewId="0" topLeftCell="A1">
      <pane xSplit="3" ySplit="2" topLeftCell="D3" activePane="bottomRight" state="frozen"/>
      <selection pane="topLeft" activeCell="A1" sqref="A1"/>
      <selection pane="topRight" activeCell="D1" sqref="D1"/>
      <selection pane="bottomLeft" activeCell="A3" sqref="A3"/>
      <selection pane="bottomRight" activeCell="J90" sqref="J90"/>
    </sheetView>
  </sheetViews>
  <sheetFormatPr defaultColWidth="9.140625" defaultRowHeight="12.75"/>
  <cols>
    <col min="2" max="2" width="11.57421875" style="0" customWidth="1"/>
    <col min="3" max="3" width="15.421875" style="0" customWidth="1"/>
    <col min="5" max="5" width="8.421875" style="0" customWidth="1"/>
    <col min="8" max="8" width="6.8515625" style="0" customWidth="1"/>
    <col min="9" max="9" width="12.00390625" style="15" customWidth="1"/>
    <col min="10" max="10" width="31.8515625" style="0" customWidth="1"/>
    <col min="11" max="13" width="12.28125" style="0" customWidth="1"/>
    <col min="14" max="14" width="18.140625" style="0" customWidth="1"/>
    <col min="15" max="16" width="21.00390625" style="0" customWidth="1"/>
    <col min="17" max="17" width="18.8515625" style="0" customWidth="1"/>
    <col min="18" max="18" width="10.8515625" style="0" customWidth="1"/>
    <col min="19" max="19" width="10.57421875" style="0" customWidth="1"/>
    <col min="20" max="20" width="28.421875" style="84" customWidth="1"/>
    <col min="21" max="21" width="15.140625" style="0" customWidth="1"/>
    <col min="22" max="22" width="21.7109375" style="0" customWidth="1"/>
    <col min="23" max="23" width="15.140625" style="0" customWidth="1"/>
    <col min="24" max="24" width="15.421875" style="0" customWidth="1"/>
    <col min="25" max="25" width="16.8515625" style="0" customWidth="1"/>
    <col min="26" max="27" width="16.8515625" style="15" customWidth="1"/>
    <col min="28" max="29" width="15.421875" style="0" customWidth="1"/>
    <col min="30" max="30" width="17.7109375" style="0" customWidth="1"/>
    <col min="31" max="31" width="17.7109375" style="429" customWidth="1"/>
    <col min="32" max="33" width="10.28125" style="0" customWidth="1"/>
    <col min="34" max="34" width="7.7109375" style="0" customWidth="1"/>
    <col min="35" max="36" width="17.7109375" style="0" hidden="1" customWidth="1"/>
    <col min="37" max="37" width="16.140625" style="15" customWidth="1"/>
    <col min="38" max="38" width="11.421875" style="0" customWidth="1"/>
    <col min="39" max="39" width="10.7109375" style="0" customWidth="1"/>
    <col min="40" max="40" width="13.28125" style="0" customWidth="1"/>
    <col min="41" max="41" width="9.7109375" style="61" customWidth="1"/>
    <col min="42" max="42" width="9.7109375" style="0" customWidth="1"/>
    <col min="43" max="43" width="10.421875" style="0" customWidth="1"/>
    <col min="44" max="45" width="17.7109375" style="0" customWidth="1"/>
    <col min="46" max="46" width="14.7109375" style="0" customWidth="1"/>
    <col min="47" max="47" width="13.421875" style="0" customWidth="1"/>
    <col min="48" max="48" width="14.00390625" style="0" customWidth="1"/>
    <col min="52" max="52" width="12.00390625" style="15" customWidth="1"/>
    <col min="53" max="53" width="28.421875" style="84" customWidth="1"/>
    <col min="54" max="54" width="14.28125" style="15" customWidth="1"/>
    <col min="56" max="56" width="9.28125" style="0" bestFit="1" customWidth="1"/>
    <col min="62" max="68" width="12.28125" style="0" customWidth="1"/>
  </cols>
  <sheetData>
    <row r="1" spans="14:68" ht="74.25" customHeight="1">
      <c r="N1" s="17" t="s">
        <v>84</v>
      </c>
      <c r="R1" s="5" t="s">
        <v>1087</v>
      </c>
      <c r="S1" s="5"/>
      <c r="U1" t="s">
        <v>466</v>
      </c>
      <c r="X1" s="57" t="s">
        <v>1089</v>
      </c>
      <c r="Y1" s="57"/>
      <c r="Z1" s="57"/>
      <c r="AA1" s="57"/>
      <c r="AB1" s="412" t="s">
        <v>1076</v>
      </c>
      <c r="AC1" s="57"/>
      <c r="AD1" s="81"/>
      <c r="AE1" s="426"/>
      <c r="AF1" s="425" t="s">
        <v>580</v>
      </c>
      <c r="AG1" s="425" t="s">
        <v>580</v>
      </c>
      <c r="AH1" s="425" t="s">
        <v>580</v>
      </c>
      <c r="AI1" s="81"/>
      <c r="AJ1" s="81"/>
      <c r="AK1" s="81"/>
      <c r="AL1" s="81"/>
      <c r="AM1" s="81"/>
      <c r="AN1" s="81"/>
      <c r="AO1" s="265"/>
      <c r="AP1" s="81"/>
      <c r="AQ1" s="81"/>
      <c r="AR1" s="81"/>
      <c r="AS1" s="81"/>
      <c r="AU1" s="425" t="s">
        <v>589</v>
      </c>
      <c r="AV1" s="425" t="s">
        <v>590</v>
      </c>
      <c r="AW1" s="81"/>
      <c r="AX1" s="81"/>
      <c r="BG1" t="s">
        <v>752</v>
      </c>
      <c r="BH1" t="s">
        <v>1087</v>
      </c>
      <c r="BJ1" s="22" t="s">
        <v>328</v>
      </c>
      <c r="BK1" s="22" t="s">
        <v>424</v>
      </c>
      <c r="BL1" s="22"/>
      <c r="BM1" s="22" t="s">
        <v>754</v>
      </c>
      <c r="BN1" s="22" t="s">
        <v>328</v>
      </c>
      <c r="BO1" s="22" t="s">
        <v>424</v>
      </c>
      <c r="BP1" s="22"/>
    </row>
    <row r="2" spans="1:68" ht="75" customHeight="1">
      <c r="A2" s="53" t="s">
        <v>810</v>
      </c>
      <c r="B2" s="159" t="s">
        <v>74</v>
      </c>
      <c r="C2" s="53" t="s">
        <v>811</v>
      </c>
      <c r="D2" s="53" t="s">
        <v>812</v>
      </c>
      <c r="E2" s="54" t="s">
        <v>813</v>
      </c>
      <c r="F2" s="54" t="s">
        <v>814</v>
      </c>
      <c r="G2" s="54" t="s">
        <v>687</v>
      </c>
      <c r="H2" s="55" t="s">
        <v>815</v>
      </c>
      <c r="I2" s="56" t="s">
        <v>1090</v>
      </c>
      <c r="J2" s="56" t="s">
        <v>835</v>
      </c>
      <c r="K2" s="54" t="s">
        <v>836</v>
      </c>
      <c r="L2" s="162" t="s">
        <v>738</v>
      </c>
      <c r="M2" s="162" t="s">
        <v>739</v>
      </c>
      <c r="N2" s="607" t="s">
        <v>744</v>
      </c>
      <c r="O2" s="56" t="s">
        <v>14</v>
      </c>
      <c r="P2" s="56" t="s">
        <v>44</v>
      </c>
      <c r="Q2" s="104" t="s">
        <v>467</v>
      </c>
      <c r="R2" s="105" t="s">
        <v>826</v>
      </c>
      <c r="S2" s="105" t="s">
        <v>827</v>
      </c>
      <c r="T2" s="85" t="s">
        <v>1109</v>
      </c>
      <c r="U2" s="76" t="s">
        <v>468</v>
      </c>
      <c r="V2" s="117" t="s">
        <v>45</v>
      </c>
      <c r="W2" s="118" t="s">
        <v>46</v>
      </c>
      <c r="X2" s="22" t="s">
        <v>65</v>
      </c>
      <c r="Y2" s="22" t="s">
        <v>66</v>
      </c>
      <c r="Z2" s="22" t="s">
        <v>781</v>
      </c>
      <c r="AA2" s="22" t="s">
        <v>782</v>
      </c>
      <c r="AB2" s="21" t="s">
        <v>1077</v>
      </c>
      <c r="AC2" s="21" t="s">
        <v>67</v>
      </c>
      <c r="AD2" s="109" t="s">
        <v>11</v>
      </c>
      <c r="AE2" s="427" t="s">
        <v>575</v>
      </c>
      <c r="AF2" s="218" t="s">
        <v>339</v>
      </c>
      <c r="AG2" s="218" t="s">
        <v>340</v>
      </c>
      <c r="AH2" s="218" t="s">
        <v>341</v>
      </c>
      <c r="AI2" s="218" t="s">
        <v>342</v>
      </c>
      <c r="AJ2" s="218" t="s">
        <v>343</v>
      </c>
      <c r="AK2" s="218" t="s">
        <v>576</v>
      </c>
      <c r="AL2" s="218" t="s">
        <v>577</v>
      </c>
      <c r="AM2" s="218" t="s">
        <v>578</v>
      </c>
      <c r="AN2" s="218" t="s">
        <v>579</v>
      </c>
      <c r="AO2" s="416" t="s">
        <v>365</v>
      </c>
      <c r="AP2" s="218" t="s">
        <v>366</v>
      </c>
      <c r="AQ2" s="218" t="s">
        <v>367</v>
      </c>
      <c r="AR2" s="218" t="s">
        <v>368</v>
      </c>
      <c r="AS2" s="218" t="s">
        <v>369</v>
      </c>
      <c r="AT2" s="80" t="s">
        <v>519</v>
      </c>
      <c r="AU2" s="80" t="s">
        <v>481</v>
      </c>
      <c r="AV2" s="80" t="s">
        <v>523</v>
      </c>
      <c r="AW2" s="79"/>
      <c r="AX2" s="79" t="s">
        <v>484</v>
      </c>
      <c r="AZ2" s="56" t="s">
        <v>1090</v>
      </c>
      <c r="BA2" s="85" t="s">
        <v>1109</v>
      </c>
      <c r="BB2" s="539" t="s">
        <v>440</v>
      </c>
      <c r="BC2" s="539" t="s">
        <v>441</v>
      </c>
      <c r="BD2" s="539" t="s">
        <v>180</v>
      </c>
      <c r="BE2" s="539" t="s">
        <v>15</v>
      </c>
      <c r="BG2" t="s">
        <v>753</v>
      </c>
      <c r="BH2" t="s">
        <v>826</v>
      </c>
      <c r="BI2" t="s">
        <v>827</v>
      </c>
      <c r="BJ2" s="15"/>
      <c r="BK2" s="15" t="s">
        <v>659</v>
      </c>
      <c r="BL2" s="15"/>
      <c r="BM2" s="15" t="s">
        <v>423</v>
      </c>
      <c r="BN2" s="15"/>
      <c r="BO2" s="15" t="s">
        <v>659</v>
      </c>
      <c r="BP2" s="15"/>
    </row>
    <row r="3" spans="1:68" s="5" customFormat="1" ht="38.25">
      <c r="A3" s="164">
        <v>1</v>
      </c>
      <c r="B3" s="163">
        <v>1</v>
      </c>
      <c r="C3" s="163" t="s">
        <v>1116</v>
      </c>
      <c r="D3" s="163" t="s">
        <v>778</v>
      </c>
      <c r="E3" s="165">
        <v>16000</v>
      </c>
      <c r="F3" s="165">
        <v>8000</v>
      </c>
      <c r="G3" s="165">
        <f aca="true" t="shared" si="0" ref="G3:G66">E3-F3</f>
        <v>8000</v>
      </c>
      <c r="H3" s="110">
        <f aca="true" t="shared" si="1" ref="H3:H66">G3/E3</f>
        <v>0.5</v>
      </c>
      <c r="I3" s="166" t="s">
        <v>823</v>
      </c>
      <c r="J3" s="5" t="s">
        <v>1119</v>
      </c>
      <c r="K3" s="5" t="s">
        <v>837</v>
      </c>
      <c r="N3" s="5">
        <v>3</v>
      </c>
      <c r="O3" s="167">
        <v>5</v>
      </c>
      <c r="P3" s="167">
        <v>0</v>
      </c>
      <c r="R3" s="111">
        <v>194</v>
      </c>
      <c r="S3" s="78">
        <v>1.08</v>
      </c>
      <c r="T3" s="168"/>
      <c r="U3" s="169" t="s">
        <v>469</v>
      </c>
      <c r="V3" s="170">
        <v>75</v>
      </c>
      <c r="W3" s="170">
        <v>3.75</v>
      </c>
      <c r="X3" s="111">
        <f>'fert +pest rates'!D3</f>
        <v>625</v>
      </c>
      <c r="Y3" s="5">
        <f>'fert +pest rates'!I3</f>
        <v>637.5</v>
      </c>
      <c r="Z3" s="166">
        <f>'fert +pest rates'!N3</f>
        <v>0</v>
      </c>
      <c r="AA3" s="166">
        <f>'fert +pest rates'!O3</f>
        <v>0</v>
      </c>
      <c r="AB3" s="5">
        <f>Z3</f>
        <v>0</v>
      </c>
      <c r="AC3" s="5">
        <f>AA3</f>
        <v>0</v>
      </c>
      <c r="AD3" s="108">
        <v>134</v>
      </c>
      <c r="AE3" s="428" t="str">
        <f>'fert +pest rates'!Q3</f>
        <v>Atrazine .5kg /ha; Diuron -; 24D 0.7L/ha</v>
      </c>
      <c r="AF3" s="108">
        <v>0.5</v>
      </c>
      <c r="AG3" s="108"/>
      <c r="AH3" s="108">
        <v>0.7</v>
      </c>
      <c r="AI3" s="108"/>
      <c r="AJ3" s="108"/>
      <c r="AK3" s="424" t="str">
        <f>'fert +pest rates'!S3</f>
        <v>Atrazine 0; 24D 0.7L/ha</v>
      </c>
      <c r="AL3" s="108">
        <v>0</v>
      </c>
      <c r="AM3" s="108"/>
      <c r="AN3" s="108">
        <v>0.7</v>
      </c>
      <c r="AO3" s="421">
        <f>(AF3-AL3)</f>
        <v>0.5</v>
      </c>
      <c r="AP3" s="421">
        <f>(AG3-AM3)</f>
        <v>0</v>
      </c>
      <c r="AQ3" s="421">
        <f>(AH3-AN3)</f>
        <v>0</v>
      </c>
      <c r="AR3" s="108"/>
      <c r="AS3" s="108"/>
      <c r="AT3" s="108">
        <v>0.15</v>
      </c>
      <c r="AU3" s="108">
        <v>0.1</v>
      </c>
      <c r="AV3" s="108">
        <v>0.05</v>
      </c>
      <c r="AW3" s="108"/>
      <c r="AX3" s="108">
        <v>0.3</v>
      </c>
      <c r="AZ3" s="166" t="s">
        <v>823</v>
      </c>
      <c r="BA3" s="168" t="s">
        <v>181</v>
      </c>
      <c r="BB3" s="166"/>
      <c r="BD3" s="541">
        <f>'Recycle pits'!AP12</f>
        <v>0.06892400703865031</v>
      </c>
      <c r="BE3" s="541">
        <f>BD3</f>
        <v>0.06892400703865031</v>
      </c>
      <c r="BH3" s="5">
        <v>194</v>
      </c>
      <c r="BI3" s="5">
        <v>1.08</v>
      </c>
      <c r="BJ3" s="72">
        <f>BH3*0.015*10000/1000</f>
        <v>29.099999999999998</v>
      </c>
      <c r="BK3" s="72">
        <f>BG3/BJ3*100</f>
        <v>0</v>
      </c>
      <c r="BL3" s="107" t="e">
        <f aca="true" t="shared" si="2" ref="BL3:BL66">IF(BK3&gt;500,0.8,LN(BK3)/10)</f>
        <v>#NUM!</v>
      </c>
      <c r="BM3" s="579">
        <f>S3</f>
        <v>1.08</v>
      </c>
      <c r="BN3" s="72">
        <f>BH3*0.015*10000/1000</f>
        <v>29.099999999999998</v>
      </c>
      <c r="BO3" s="72">
        <f>BM3/BN3*100</f>
        <v>3.7113402061855676</v>
      </c>
      <c r="BP3" s="107">
        <f aca="true" t="shared" si="3" ref="BP3:BP66">IF(BO3&gt;500,0.8,LN(BO3)/10)</f>
        <v>0.1311393052946773</v>
      </c>
    </row>
    <row r="4" spans="1:68" s="5" customFormat="1" ht="51">
      <c r="A4" s="164">
        <v>2</v>
      </c>
      <c r="B4" s="163">
        <v>2</v>
      </c>
      <c r="C4" s="163" t="s">
        <v>1116</v>
      </c>
      <c r="D4" s="163" t="s">
        <v>779</v>
      </c>
      <c r="E4" s="165">
        <v>15000</v>
      </c>
      <c r="F4" s="165">
        <v>3500</v>
      </c>
      <c r="G4" s="165">
        <f t="shared" si="0"/>
        <v>11500</v>
      </c>
      <c r="H4" s="110">
        <f t="shared" si="1"/>
        <v>0.7666666666666667</v>
      </c>
      <c r="I4" s="166" t="s">
        <v>823</v>
      </c>
      <c r="J4" s="5" t="s">
        <v>1119</v>
      </c>
      <c r="K4" s="5" t="s">
        <v>838</v>
      </c>
      <c r="N4" s="5">
        <v>3</v>
      </c>
      <c r="O4" s="167">
        <v>5</v>
      </c>
      <c r="P4" s="167">
        <v>0</v>
      </c>
      <c r="R4" s="111">
        <v>133</v>
      </c>
      <c r="S4" s="78">
        <v>4.8</v>
      </c>
      <c r="T4" s="168"/>
      <c r="U4" s="169" t="s">
        <v>470</v>
      </c>
      <c r="V4" s="170">
        <v>75</v>
      </c>
      <c r="W4" s="170">
        <v>3.75</v>
      </c>
      <c r="X4" s="111">
        <f>'fert +pest rates'!D4</f>
        <v>128.687</v>
      </c>
      <c r="Y4" s="111">
        <f>'fert +pest rates'!I4</f>
        <v>177.099</v>
      </c>
      <c r="Z4" s="236" t="str">
        <f>'fert +pest rates'!N4</f>
        <v>reduced by 60%</v>
      </c>
      <c r="AA4" s="166">
        <f>'fert +pest rates'!O4</f>
        <v>0</v>
      </c>
      <c r="AB4" s="76">
        <f>X4-(X4*0.6)</f>
        <v>51.4748</v>
      </c>
      <c r="AC4" s="76">
        <f>Y4-(Y4*0.6)</f>
        <v>70.8396</v>
      </c>
      <c r="AD4" s="171">
        <v>93</v>
      </c>
      <c r="AE4" s="428" t="str">
        <f>'fert +pest rates'!Q4</f>
        <v>Atrazine 2.2kg/ha;Diuron .5kg/ha;                   2-4-D 900ml/ha</v>
      </c>
      <c r="AF4" s="171">
        <v>2.2</v>
      </c>
      <c r="AG4" s="171">
        <v>0.5</v>
      </c>
      <c r="AH4" s="171">
        <v>0.9</v>
      </c>
      <c r="AI4" s="171"/>
      <c r="AJ4" s="171"/>
      <c r="AK4" s="415">
        <f>'fert +pest rates'!S4</f>
        <v>0</v>
      </c>
      <c r="AL4" s="171"/>
      <c r="AM4" s="171"/>
      <c r="AN4" s="171"/>
      <c r="AO4" s="417"/>
      <c r="AP4" s="171"/>
      <c r="AQ4" s="171"/>
      <c r="AR4" s="171"/>
      <c r="AS4" s="171"/>
      <c r="AT4" s="108">
        <v>0.15</v>
      </c>
      <c r="AU4" s="108"/>
      <c r="AV4" s="108"/>
      <c r="AW4" s="108"/>
      <c r="AX4" s="108">
        <v>0.3</v>
      </c>
      <c r="AZ4" s="166" t="s">
        <v>823</v>
      </c>
      <c r="BA4" s="168" t="s">
        <v>181</v>
      </c>
      <c r="BB4" s="166"/>
      <c r="BD4" s="541">
        <f>'Recycle pits'!AP13</f>
        <v>0.17549077970150057</v>
      </c>
      <c r="BE4" s="541">
        <f aca="true" t="shared" si="4" ref="BE4:BE67">BD4</f>
        <v>0.17549077970150057</v>
      </c>
      <c r="BH4" s="5">
        <v>133</v>
      </c>
      <c r="BI4" s="5">
        <v>4.8</v>
      </c>
      <c r="BJ4" s="72">
        <f aca="true" t="shared" si="5" ref="BJ4:BJ67">BH4*0.015*10000/1000</f>
        <v>19.95</v>
      </c>
      <c r="BK4" s="72">
        <f aca="true" t="shared" si="6" ref="BK4:BK44">BG4/BJ4*100</f>
        <v>0</v>
      </c>
      <c r="BL4" s="107" t="e">
        <f t="shared" si="2"/>
        <v>#NUM!</v>
      </c>
      <c r="BM4" s="579">
        <f aca="true" t="shared" si="7" ref="BM4:BM67">S4</f>
        <v>4.8</v>
      </c>
      <c r="BN4" s="72">
        <f aca="true" t="shared" si="8" ref="BN4:BN67">BH4*0.015*10000/1000</f>
        <v>19.95</v>
      </c>
      <c r="BO4" s="72">
        <f aca="true" t="shared" si="9" ref="BO4:BO67">BM4/BN4*100</f>
        <v>24.06015037593985</v>
      </c>
      <c r="BP4" s="107">
        <f t="shared" si="3"/>
        <v>0.31805569605660644</v>
      </c>
    </row>
    <row r="5" spans="1:68" s="5" customFormat="1" ht="25.5">
      <c r="A5" s="164">
        <v>3</v>
      </c>
      <c r="B5" s="163">
        <v>3</v>
      </c>
      <c r="C5" s="163" t="s">
        <v>1116</v>
      </c>
      <c r="D5" s="163" t="s">
        <v>779</v>
      </c>
      <c r="E5" s="165">
        <v>12000</v>
      </c>
      <c r="F5" s="165">
        <v>0</v>
      </c>
      <c r="G5" s="165">
        <f t="shared" si="0"/>
        <v>12000</v>
      </c>
      <c r="H5" s="110">
        <f t="shared" si="1"/>
        <v>1</v>
      </c>
      <c r="I5" s="166" t="s">
        <v>823</v>
      </c>
      <c r="J5" s="5" t="s">
        <v>1119</v>
      </c>
      <c r="K5" s="5" t="s">
        <v>838</v>
      </c>
      <c r="N5" s="5">
        <v>3</v>
      </c>
      <c r="O5" s="167">
        <v>5</v>
      </c>
      <c r="P5" s="167">
        <v>1</v>
      </c>
      <c r="R5" s="111">
        <v>93</v>
      </c>
      <c r="S5" s="78">
        <v>4.2</v>
      </c>
      <c r="T5" s="168"/>
      <c r="U5" s="169" t="s">
        <v>469</v>
      </c>
      <c r="V5" s="170">
        <v>75</v>
      </c>
      <c r="W5" s="170">
        <v>3.75</v>
      </c>
      <c r="X5" s="111">
        <f>'fert +pest rates'!D5</f>
        <v>128.687</v>
      </c>
      <c r="Y5" s="5">
        <f>'fert +pest rates'!I5</f>
        <v>177.099</v>
      </c>
      <c r="Z5" s="236" t="str">
        <f>'fert +pest rates'!N5</f>
        <v>reduced by 60%</v>
      </c>
      <c r="AA5" s="166">
        <f>'fert +pest rates'!O5</f>
        <v>0</v>
      </c>
      <c r="AB5" s="76">
        <f>X5-(X5*0.6)</f>
        <v>51.4748</v>
      </c>
      <c r="AC5" s="76">
        <f>Y5-(Y5*0.6)</f>
        <v>70.8396</v>
      </c>
      <c r="AD5" s="108">
        <v>132</v>
      </c>
      <c r="AE5" s="428" t="str">
        <f>'fert +pest rates'!Q5</f>
        <v>2-4-D 900ml/ha</v>
      </c>
      <c r="AF5" s="108"/>
      <c r="AG5" s="108"/>
      <c r="AH5" s="108">
        <v>0.9</v>
      </c>
      <c r="AI5" s="108"/>
      <c r="AJ5" s="108"/>
      <c r="AK5" s="415">
        <f>'fert +pest rates'!S5</f>
        <v>0</v>
      </c>
      <c r="AL5" s="108"/>
      <c r="AM5" s="108"/>
      <c r="AN5" s="108"/>
      <c r="AO5" s="417"/>
      <c r="AP5" s="108"/>
      <c r="AQ5" s="108"/>
      <c r="AR5" s="108"/>
      <c r="AS5" s="108"/>
      <c r="AT5" s="108">
        <v>0.15</v>
      </c>
      <c r="AU5" s="108"/>
      <c r="AV5" s="108"/>
      <c r="AW5" s="108"/>
      <c r="AX5" s="108">
        <v>0.3</v>
      </c>
      <c r="AZ5" s="166" t="s">
        <v>823</v>
      </c>
      <c r="BA5" s="168" t="s">
        <v>181</v>
      </c>
      <c r="BB5" s="166"/>
      <c r="BD5" s="541">
        <f>'Recycle pits'!AP14</f>
        <v>0.19631011445159927</v>
      </c>
      <c r="BE5" s="541">
        <f t="shared" si="4"/>
        <v>0.19631011445159927</v>
      </c>
      <c r="BH5" s="5">
        <v>93</v>
      </c>
      <c r="BI5" s="5">
        <v>4.2</v>
      </c>
      <c r="BJ5" s="72">
        <f t="shared" si="5"/>
        <v>13.95</v>
      </c>
      <c r="BK5" s="72">
        <f t="shared" si="6"/>
        <v>0</v>
      </c>
      <c r="BL5" s="107" t="e">
        <f t="shared" si="2"/>
        <v>#NUM!</v>
      </c>
      <c r="BM5" s="579">
        <f t="shared" si="7"/>
        <v>4.2</v>
      </c>
      <c r="BN5" s="72">
        <f t="shared" si="8"/>
        <v>13.95</v>
      </c>
      <c r="BO5" s="72">
        <f t="shared" si="9"/>
        <v>30.107526881720432</v>
      </c>
      <c r="BP5" s="107">
        <f t="shared" si="3"/>
        <v>0.3404775203010039</v>
      </c>
    </row>
    <row r="6" spans="1:68" s="5" customFormat="1" ht="25.5">
      <c r="A6" s="164">
        <v>4</v>
      </c>
      <c r="B6" s="163">
        <v>4</v>
      </c>
      <c r="C6" s="163" t="s">
        <v>1116</v>
      </c>
      <c r="D6" s="163" t="s">
        <v>779</v>
      </c>
      <c r="E6" s="165">
        <v>45000</v>
      </c>
      <c r="F6" s="165">
        <v>15000</v>
      </c>
      <c r="G6" s="165">
        <f t="shared" si="0"/>
        <v>30000</v>
      </c>
      <c r="H6" s="172">
        <f t="shared" si="1"/>
        <v>0.6666666666666666</v>
      </c>
      <c r="I6" s="166" t="s">
        <v>823</v>
      </c>
      <c r="J6" s="5" t="s">
        <v>1119</v>
      </c>
      <c r="N6" s="5">
        <v>3</v>
      </c>
      <c r="O6" s="167">
        <v>5</v>
      </c>
      <c r="P6" s="167"/>
      <c r="Q6" s="173" t="s">
        <v>471</v>
      </c>
      <c r="R6" s="111">
        <v>67</v>
      </c>
      <c r="S6" s="78">
        <v>225</v>
      </c>
      <c r="T6" s="168"/>
      <c r="U6" s="169" t="s">
        <v>472</v>
      </c>
      <c r="V6" s="170">
        <v>50</v>
      </c>
      <c r="W6" s="170">
        <v>2.5</v>
      </c>
      <c r="X6" s="111">
        <f>'fert +pest rates'!D6</f>
        <v>258.75</v>
      </c>
      <c r="Y6" s="5">
        <f>'fert +pest rates'!I6</f>
        <v>255.645</v>
      </c>
      <c r="Z6" s="166">
        <f>'fert +pest rates'!N6</f>
        <v>0</v>
      </c>
      <c r="AA6" s="166">
        <f>'fert +pest rates'!O6</f>
        <v>0</v>
      </c>
      <c r="AB6" s="5">
        <f aca="true" t="shared" si="10" ref="AB6:AB67">Z6</f>
        <v>0</v>
      </c>
      <c r="AC6" s="5">
        <f aca="true" t="shared" si="11" ref="AC6:AC67">AA6</f>
        <v>0</v>
      </c>
      <c r="AD6" s="108">
        <v>38</v>
      </c>
      <c r="AE6" s="428">
        <f>'fert +pest rates'!Q6</f>
        <v>0</v>
      </c>
      <c r="AF6" s="108"/>
      <c r="AG6" s="108"/>
      <c r="AH6" s="108"/>
      <c r="AI6" s="108"/>
      <c r="AJ6" s="108"/>
      <c r="AK6" s="415">
        <f>'fert +pest rates'!S6</f>
        <v>0</v>
      </c>
      <c r="AL6" s="108"/>
      <c r="AM6" s="108"/>
      <c r="AN6" s="108"/>
      <c r="AO6" s="417"/>
      <c r="AP6" s="108"/>
      <c r="AQ6" s="108"/>
      <c r="AR6" s="108"/>
      <c r="AS6" s="108"/>
      <c r="AT6" s="108">
        <v>0.15</v>
      </c>
      <c r="AU6" s="108"/>
      <c r="AV6" s="108"/>
      <c r="AW6" s="108"/>
      <c r="AX6" s="108">
        <v>0.3</v>
      </c>
      <c r="AZ6" s="166" t="s">
        <v>823</v>
      </c>
      <c r="BA6" s="168" t="s">
        <v>181</v>
      </c>
      <c r="BB6" s="166"/>
      <c r="BD6" s="541">
        <f>'Recycle pits'!AP15</f>
        <v>0.8</v>
      </c>
      <c r="BE6" s="541">
        <f t="shared" si="4"/>
        <v>0.8</v>
      </c>
      <c r="BH6" s="5">
        <v>67</v>
      </c>
      <c r="BI6" s="5">
        <v>225</v>
      </c>
      <c r="BJ6" s="72">
        <f t="shared" si="5"/>
        <v>10.049999999999999</v>
      </c>
      <c r="BK6" s="72">
        <f t="shared" si="6"/>
        <v>0</v>
      </c>
      <c r="BL6" s="107" t="e">
        <f t="shared" si="2"/>
        <v>#NUM!</v>
      </c>
      <c r="BM6" s="579">
        <f t="shared" si="7"/>
        <v>225</v>
      </c>
      <c r="BN6" s="72">
        <f t="shared" si="8"/>
        <v>10.049999999999999</v>
      </c>
      <c r="BO6" s="72">
        <f t="shared" si="9"/>
        <v>2238.805970149254</v>
      </c>
      <c r="BP6" s="107">
        <f t="shared" si="3"/>
        <v>0.8</v>
      </c>
    </row>
    <row r="7" spans="1:68" s="5" customFormat="1" ht="38.25">
      <c r="A7" s="164">
        <v>5</v>
      </c>
      <c r="B7" s="163">
        <v>5</v>
      </c>
      <c r="C7" s="163" t="s">
        <v>1116</v>
      </c>
      <c r="D7" s="163" t="s">
        <v>779</v>
      </c>
      <c r="E7" s="165">
        <v>30000</v>
      </c>
      <c r="F7" s="165">
        <v>18000</v>
      </c>
      <c r="G7" s="165">
        <f t="shared" si="0"/>
        <v>12000</v>
      </c>
      <c r="H7" s="110">
        <f t="shared" si="1"/>
        <v>0.4</v>
      </c>
      <c r="I7" s="166" t="s">
        <v>823</v>
      </c>
      <c r="J7" s="5" t="s">
        <v>1119</v>
      </c>
      <c r="N7" s="5">
        <v>3</v>
      </c>
      <c r="O7" s="167">
        <v>5</v>
      </c>
      <c r="P7" s="167">
        <v>0.2</v>
      </c>
      <c r="Q7" s="174"/>
      <c r="R7" s="111">
        <v>162</v>
      </c>
      <c r="S7" s="78">
        <v>2.7</v>
      </c>
      <c r="T7" s="168"/>
      <c r="U7" s="169" t="s">
        <v>473</v>
      </c>
      <c r="V7" s="170">
        <v>25</v>
      </c>
      <c r="W7" s="170">
        <v>1.25</v>
      </c>
      <c r="X7" s="111">
        <f>'fert +pest rates'!D7</f>
        <v>170.43</v>
      </c>
      <c r="Y7" s="5">
        <f>'fert +pest rates'!I7</f>
        <v>255.645</v>
      </c>
      <c r="Z7" s="166">
        <f>'fert +pest rates'!N7</f>
        <v>0</v>
      </c>
      <c r="AA7" s="166">
        <f>'fert +pest rates'!O7</f>
        <v>0</v>
      </c>
      <c r="AB7" s="5">
        <f t="shared" si="10"/>
        <v>0</v>
      </c>
      <c r="AC7" s="5">
        <f t="shared" si="11"/>
        <v>0</v>
      </c>
      <c r="AD7" s="108">
        <v>93</v>
      </c>
      <c r="AE7" s="428" t="str">
        <f>'fert +pest rates'!Q7</f>
        <v>Atrazine: 4L/ha, Diuron: 0-5L/ha, 24D: 1L/ha</v>
      </c>
      <c r="AF7" s="108">
        <v>4</v>
      </c>
      <c r="AG7" s="108">
        <v>0.5</v>
      </c>
      <c r="AH7" s="108">
        <v>1</v>
      </c>
      <c r="AI7" s="108"/>
      <c r="AJ7" s="108"/>
      <c r="AK7" s="415">
        <f>'fert +pest rates'!S7</f>
        <v>0</v>
      </c>
      <c r="AL7" s="108"/>
      <c r="AM7" s="108"/>
      <c r="AN7" s="108"/>
      <c r="AO7" s="417"/>
      <c r="AP7" s="108"/>
      <c r="AQ7" s="108"/>
      <c r="AR7" s="108"/>
      <c r="AS7" s="108"/>
      <c r="AT7" s="108">
        <v>0.15</v>
      </c>
      <c r="AU7" s="108"/>
      <c r="AV7" s="108"/>
      <c r="AW7" s="108"/>
      <c r="AX7" s="108">
        <v>0.3</v>
      </c>
      <c r="AZ7" s="166" t="s">
        <v>823</v>
      </c>
      <c r="BA7" s="168" t="s">
        <v>181</v>
      </c>
      <c r="BB7" s="166"/>
      <c r="BD7" s="541">
        <f>'Recycle pits'!AP16</f>
        <v>0.11925700000000002</v>
      </c>
      <c r="BE7" s="541">
        <f t="shared" si="4"/>
        <v>0.11925700000000002</v>
      </c>
      <c r="BH7" s="5">
        <v>162</v>
      </c>
      <c r="BI7" s="5">
        <v>2.7</v>
      </c>
      <c r="BJ7" s="72">
        <f t="shared" si="5"/>
        <v>24.299999999999997</v>
      </c>
      <c r="BK7" s="72">
        <f t="shared" si="6"/>
        <v>0</v>
      </c>
      <c r="BL7" s="107" t="e">
        <f t="shared" si="2"/>
        <v>#NUM!</v>
      </c>
      <c r="BM7" s="579">
        <f t="shared" si="7"/>
        <v>2.7</v>
      </c>
      <c r="BN7" s="72">
        <f t="shared" si="8"/>
        <v>24.299999999999997</v>
      </c>
      <c r="BO7" s="72">
        <f t="shared" si="9"/>
        <v>11.111111111111112</v>
      </c>
      <c r="BP7" s="107">
        <f t="shared" si="3"/>
        <v>0.24079456086518722</v>
      </c>
    </row>
    <row r="8" spans="1:68" s="5" customFormat="1" ht="38.25">
      <c r="A8" s="164">
        <v>6</v>
      </c>
      <c r="B8" s="163">
        <v>6</v>
      </c>
      <c r="C8" s="163" t="s">
        <v>1116</v>
      </c>
      <c r="D8" s="163" t="s">
        <v>779</v>
      </c>
      <c r="E8" s="165">
        <v>40000</v>
      </c>
      <c r="F8" s="165">
        <v>10000</v>
      </c>
      <c r="G8" s="165">
        <f t="shared" si="0"/>
        <v>30000</v>
      </c>
      <c r="H8" s="172">
        <f t="shared" si="1"/>
        <v>0.75</v>
      </c>
      <c r="I8" s="166" t="s">
        <v>474</v>
      </c>
      <c r="J8" s="5" t="s">
        <v>1119</v>
      </c>
      <c r="N8" s="5">
        <v>2</v>
      </c>
      <c r="O8" s="167">
        <v>5</v>
      </c>
      <c r="P8" s="167">
        <v>0</v>
      </c>
      <c r="Q8" s="174"/>
      <c r="R8" s="111">
        <v>150</v>
      </c>
      <c r="S8" s="78"/>
      <c r="T8" s="166" t="s">
        <v>474</v>
      </c>
      <c r="U8" s="169" t="s">
        <v>472</v>
      </c>
      <c r="V8" s="170">
        <v>50</v>
      </c>
      <c r="W8" s="170">
        <v>2.5</v>
      </c>
      <c r="X8" s="111">
        <f>'fert +pest rates'!D8</f>
        <v>163.6375</v>
      </c>
      <c r="Y8" s="5">
        <f>'fert +pest rates'!I8</f>
        <v>200.07</v>
      </c>
      <c r="Z8" s="166">
        <f>'fert +pest rates'!N8</f>
        <v>0</v>
      </c>
      <c r="AA8" s="166">
        <f>'fert +pest rates'!O8</f>
        <v>0</v>
      </c>
      <c r="AB8" s="5">
        <f t="shared" si="10"/>
        <v>0</v>
      </c>
      <c r="AC8" s="5">
        <f t="shared" si="11"/>
        <v>0</v>
      </c>
      <c r="AD8" s="108">
        <v>230</v>
      </c>
      <c r="AE8" s="428">
        <f>'fert +pest rates'!Q8</f>
        <v>0</v>
      </c>
      <c r="AF8" s="108"/>
      <c r="AG8" s="108"/>
      <c r="AH8" s="108"/>
      <c r="AI8" s="108"/>
      <c r="AJ8" s="108"/>
      <c r="AK8" s="415">
        <f>'fert +pest rates'!S8</f>
        <v>0</v>
      </c>
      <c r="AL8" s="108"/>
      <c r="AM8" s="108"/>
      <c r="AN8" s="108"/>
      <c r="AO8" s="417"/>
      <c r="AP8" s="108"/>
      <c r="AQ8" s="108"/>
      <c r="AR8" s="108"/>
      <c r="AS8" s="108"/>
      <c r="AT8" s="108">
        <v>0.15</v>
      </c>
      <c r="AU8" s="108"/>
      <c r="AV8" s="108"/>
      <c r="AW8" s="108"/>
      <c r="AX8" s="108">
        <v>0.3</v>
      </c>
      <c r="AZ8" s="166" t="s">
        <v>474</v>
      </c>
      <c r="BA8" s="166" t="s">
        <v>190</v>
      </c>
      <c r="BB8" s="166"/>
      <c r="BD8" s="541">
        <v>0.35</v>
      </c>
      <c r="BE8" s="541">
        <f t="shared" si="4"/>
        <v>0.35</v>
      </c>
      <c r="BH8" s="5">
        <v>150</v>
      </c>
      <c r="BI8" s="5">
        <v>7.5</v>
      </c>
      <c r="BJ8" s="72">
        <f t="shared" si="5"/>
        <v>22.5</v>
      </c>
      <c r="BK8" s="72">
        <f t="shared" si="6"/>
        <v>0</v>
      </c>
      <c r="BL8" s="107" t="e">
        <f t="shared" si="2"/>
        <v>#NUM!</v>
      </c>
      <c r="BM8" s="579">
        <f t="shared" si="7"/>
        <v>0</v>
      </c>
      <c r="BN8" s="72">
        <f t="shared" si="8"/>
        <v>22.5</v>
      </c>
      <c r="BO8" s="72">
        <f t="shared" si="9"/>
        <v>0</v>
      </c>
      <c r="BP8" s="107" t="e">
        <f t="shared" si="3"/>
        <v>#NUM!</v>
      </c>
    </row>
    <row r="9" spans="1:68" s="5" customFormat="1" ht="51">
      <c r="A9" s="164" t="s">
        <v>808</v>
      </c>
      <c r="B9" s="163">
        <v>7</v>
      </c>
      <c r="C9" s="163" t="s">
        <v>1116</v>
      </c>
      <c r="D9" s="163" t="s">
        <v>779</v>
      </c>
      <c r="E9" s="165">
        <v>50000</v>
      </c>
      <c r="F9" s="165">
        <v>30000</v>
      </c>
      <c r="G9" s="165">
        <f t="shared" si="0"/>
        <v>20000</v>
      </c>
      <c r="H9" s="172">
        <f t="shared" si="1"/>
        <v>0.4</v>
      </c>
      <c r="I9" s="166" t="s">
        <v>823</v>
      </c>
      <c r="J9" s="5" t="s">
        <v>1119</v>
      </c>
      <c r="N9" s="5">
        <v>3</v>
      </c>
      <c r="O9" s="167">
        <v>5</v>
      </c>
      <c r="P9" s="167">
        <v>0.2</v>
      </c>
      <c r="R9" s="111">
        <v>230</v>
      </c>
      <c r="S9" s="78">
        <v>30</v>
      </c>
      <c r="T9" s="168"/>
      <c r="U9" s="175" t="s">
        <v>475</v>
      </c>
      <c r="V9" s="176">
        <v>75</v>
      </c>
      <c r="W9" s="170">
        <v>3.75</v>
      </c>
      <c r="X9" s="111">
        <f>'fert +pest rates'!D9</f>
        <v>158.08</v>
      </c>
      <c r="Y9" s="5">
        <f>'fert +pest rates'!I9</f>
        <v>227</v>
      </c>
      <c r="Z9" s="166">
        <f>'fert +pest rates'!N9</f>
        <v>0</v>
      </c>
      <c r="AA9" s="166">
        <f>'fert +pest rates'!O9</f>
        <v>0</v>
      </c>
      <c r="AB9" s="5">
        <f t="shared" si="10"/>
        <v>0</v>
      </c>
      <c r="AC9" s="5">
        <f t="shared" si="11"/>
        <v>0</v>
      </c>
      <c r="AD9" s="108">
        <v>219</v>
      </c>
      <c r="AE9" s="428" t="str">
        <f>'fert +pest rates'!Q9</f>
        <v>Atrazine 1kg/ha;Diuron .5kg/ha;                   2-4-D 1L/ha</v>
      </c>
      <c r="AF9" s="108">
        <v>1</v>
      </c>
      <c r="AG9" s="108">
        <v>0.5</v>
      </c>
      <c r="AH9" s="108">
        <v>1</v>
      </c>
      <c r="AI9" s="108"/>
      <c r="AJ9" s="108"/>
      <c r="AK9" s="415">
        <f>'fert +pest rates'!S9</f>
        <v>0</v>
      </c>
      <c r="AL9" s="108"/>
      <c r="AM9" s="108"/>
      <c r="AN9" s="108"/>
      <c r="AO9" s="417"/>
      <c r="AP9" s="108"/>
      <c r="AQ9" s="108"/>
      <c r="AR9" s="108"/>
      <c r="AS9" s="108"/>
      <c r="AT9" s="108">
        <v>0.15</v>
      </c>
      <c r="AU9" s="108"/>
      <c r="AV9" s="108"/>
      <c r="AW9" s="108"/>
      <c r="AX9" s="108">
        <v>0.3</v>
      </c>
      <c r="AZ9" s="166" t="s">
        <v>823</v>
      </c>
      <c r="BA9" s="168" t="s">
        <v>181</v>
      </c>
      <c r="BB9" s="166"/>
      <c r="BD9" s="541">
        <f>'Recycle pits'!AP18</f>
        <v>0.3336231777489453</v>
      </c>
      <c r="BE9" s="541">
        <f t="shared" si="4"/>
        <v>0.3336231777489453</v>
      </c>
      <c r="BH9" s="5">
        <v>230</v>
      </c>
      <c r="BI9" s="5">
        <v>30</v>
      </c>
      <c r="BJ9" s="72">
        <f t="shared" si="5"/>
        <v>34.5</v>
      </c>
      <c r="BK9" s="72">
        <f t="shared" si="6"/>
        <v>0</v>
      </c>
      <c r="BL9" s="107" t="e">
        <f t="shared" si="2"/>
        <v>#NUM!</v>
      </c>
      <c r="BM9" s="579">
        <f t="shared" si="7"/>
        <v>30</v>
      </c>
      <c r="BN9" s="72">
        <f t="shared" si="8"/>
        <v>34.5</v>
      </c>
      <c r="BO9" s="72">
        <f t="shared" si="9"/>
        <v>86.95652173913044</v>
      </c>
      <c r="BP9" s="107">
        <f t="shared" si="3"/>
        <v>0.4465408243612933</v>
      </c>
    </row>
    <row r="10" spans="1:68" s="199" customFormat="1" ht="38.25">
      <c r="A10" s="202" t="s">
        <v>809</v>
      </c>
      <c r="B10" s="201">
        <v>8</v>
      </c>
      <c r="C10" s="201" t="s">
        <v>1116</v>
      </c>
      <c r="D10" s="201" t="s">
        <v>779</v>
      </c>
      <c r="E10" s="203">
        <v>25000</v>
      </c>
      <c r="F10" s="203">
        <v>10000</v>
      </c>
      <c r="G10" s="203">
        <f t="shared" si="0"/>
        <v>15000</v>
      </c>
      <c r="H10" s="204">
        <f t="shared" si="1"/>
        <v>0.6</v>
      </c>
      <c r="I10" s="83" t="s">
        <v>824</v>
      </c>
      <c r="J10" s="199" t="s">
        <v>1119</v>
      </c>
      <c r="N10" s="199">
        <v>3</v>
      </c>
      <c r="O10" s="205">
        <v>5</v>
      </c>
      <c r="P10" s="205">
        <v>0.5</v>
      </c>
      <c r="R10" s="206"/>
      <c r="S10" s="207"/>
      <c r="T10" s="208" t="s">
        <v>1095</v>
      </c>
      <c r="U10" s="209" t="s">
        <v>476</v>
      </c>
      <c r="V10" s="210">
        <v>75</v>
      </c>
      <c r="W10" s="211">
        <v>3.75</v>
      </c>
      <c r="X10" s="111">
        <f>'fert +pest rates'!D10</f>
        <v>158.08</v>
      </c>
      <c r="Y10" s="5">
        <f>'fert +pest rates'!I10</f>
        <v>227</v>
      </c>
      <c r="Z10" s="166">
        <f>'fert +pest rates'!N10</f>
        <v>0</v>
      </c>
      <c r="AA10" s="166">
        <f>'fert +pest rates'!O10</f>
        <v>0</v>
      </c>
      <c r="AB10" s="5">
        <f t="shared" si="10"/>
        <v>0</v>
      </c>
      <c r="AC10" s="5">
        <f t="shared" si="11"/>
        <v>0</v>
      </c>
      <c r="AD10" s="212">
        <v>219</v>
      </c>
      <c r="AE10" s="428">
        <f>'fert +pest rates'!Q10</f>
        <v>0</v>
      </c>
      <c r="AF10" s="212"/>
      <c r="AG10" s="212"/>
      <c r="AH10" s="212"/>
      <c r="AI10" s="212"/>
      <c r="AJ10" s="212"/>
      <c r="AK10" s="415">
        <f>'fert +pest rates'!S10</f>
        <v>0</v>
      </c>
      <c r="AL10" s="212"/>
      <c r="AM10" s="212"/>
      <c r="AN10" s="212"/>
      <c r="AO10" s="418"/>
      <c r="AP10" s="212"/>
      <c r="AQ10" s="212"/>
      <c r="AR10" s="212"/>
      <c r="AS10" s="212"/>
      <c r="AT10" s="212">
        <v>0.15</v>
      </c>
      <c r="AU10" s="108"/>
      <c r="AV10" s="212"/>
      <c r="AW10" s="212"/>
      <c r="AX10" s="212">
        <v>0.3</v>
      </c>
      <c r="AZ10" s="83" t="s">
        <v>824</v>
      </c>
      <c r="BA10" s="208" t="s">
        <v>1050</v>
      </c>
      <c r="BB10" s="83"/>
      <c r="BD10" s="542">
        <v>0.15</v>
      </c>
      <c r="BE10" s="541">
        <f t="shared" si="4"/>
        <v>0.15</v>
      </c>
      <c r="BJ10" s="72">
        <f t="shared" si="5"/>
        <v>0</v>
      </c>
      <c r="BK10" s="72" t="e">
        <f t="shared" si="6"/>
        <v>#DIV/0!</v>
      </c>
      <c r="BL10" s="107" t="e">
        <f t="shared" si="2"/>
        <v>#DIV/0!</v>
      </c>
      <c r="BM10" s="579">
        <f t="shared" si="7"/>
        <v>0</v>
      </c>
      <c r="BN10" s="72">
        <f t="shared" si="8"/>
        <v>0</v>
      </c>
      <c r="BO10" s="72" t="e">
        <f t="shared" si="9"/>
        <v>#DIV/0!</v>
      </c>
      <c r="BP10" s="107" t="e">
        <f t="shared" si="3"/>
        <v>#DIV/0!</v>
      </c>
    </row>
    <row r="11" spans="1:68" s="5" customFormat="1" ht="25.5">
      <c r="A11" s="164">
        <v>12</v>
      </c>
      <c r="B11" s="163">
        <v>9</v>
      </c>
      <c r="C11" s="163" t="s">
        <v>1116</v>
      </c>
      <c r="D11" s="163" t="s">
        <v>779</v>
      </c>
      <c r="E11" s="165">
        <v>15000</v>
      </c>
      <c r="F11" s="165">
        <v>5000</v>
      </c>
      <c r="G11" s="165">
        <f t="shared" si="0"/>
        <v>10000</v>
      </c>
      <c r="H11" s="110">
        <f t="shared" si="1"/>
        <v>0.6666666666666666</v>
      </c>
      <c r="I11" s="166" t="s">
        <v>823</v>
      </c>
      <c r="J11" s="5" t="s">
        <v>1119</v>
      </c>
      <c r="N11" s="5">
        <v>3</v>
      </c>
      <c r="O11" s="167">
        <v>5</v>
      </c>
      <c r="P11" s="167">
        <v>0.5</v>
      </c>
      <c r="R11" s="111">
        <v>142</v>
      </c>
      <c r="S11" s="78">
        <v>38.5</v>
      </c>
      <c r="T11" s="168"/>
      <c r="U11" s="169" t="s">
        <v>472</v>
      </c>
      <c r="V11" s="170">
        <v>50</v>
      </c>
      <c r="W11" s="170">
        <v>2.5</v>
      </c>
      <c r="X11" s="111">
        <f>'fert +pest rates'!D11</f>
        <v>33.75</v>
      </c>
      <c r="Y11" s="5">
        <f>'fert +pest rates'!I11</f>
        <v>102.5</v>
      </c>
      <c r="Z11" s="166">
        <f>'fert +pest rates'!N11</f>
        <v>0</v>
      </c>
      <c r="AA11" s="166">
        <f>'fert +pest rates'!O11</f>
        <v>0</v>
      </c>
      <c r="AB11" s="5">
        <f t="shared" si="10"/>
        <v>0</v>
      </c>
      <c r="AC11" s="5">
        <f t="shared" si="11"/>
        <v>0</v>
      </c>
      <c r="AD11" s="108">
        <v>100</v>
      </c>
      <c r="AE11" s="428" t="str">
        <f>'fert +pest rates'!Q11</f>
        <v>0.75L atrazine; 0.5 Diuron</v>
      </c>
      <c r="AF11" s="108">
        <v>0.75</v>
      </c>
      <c r="AG11" s="108">
        <v>0.5</v>
      </c>
      <c r="AH11" s="108"/>
      <c r="AI11" s="108"/>
      <c r="AJ11" s="108"/>
      <c r="AK11" s="415">
        <f>'fert +pest rates'!S11</f>
        <v>0</v>
      </c>
      <c r="AL11" s="108"/>
      <c r="AM11" s="108"/>
      <c r="AN11" s="108"/>
      <c r="AO11" s="417"/>
      <c r="AP11" s="108"/>
      <c r="AQ11" s="108"/>
      <c r="AR11" s="108"/>
      <c r="AS11" s="108"/>
      <c r="AT11" s="108">
        <v>0.15</v>
      </c>
      <c r="AU11" s="108"/>
      <c r="AV11" s="108"/>
      <c r="AW11" s="108"/>
      <c r="AX11" s="108">
        <v>0.3</v>
      </c>
      <c r="AZ11" s="166" t="s">
        <v>823</v>
      </c>
      <c r="BA11" s="168" t="s">
        <v>181</v>
      </c>
      <c r="BB11" s="166"/>
      <c r="BD11" s="541">
        <f>'Recycle pits'!AP19</f>
        <v>0.4810006883628789</v>
      </c>
      <c r="BE11" s="541">
        <f t="shared" si="4"/>
        <v>0.4810006883628789</v>
      </c>
      <c r="BH11" s="5">
        <v>142</v>
      </c>
      <c r="BI11" s="5">
        <v>38.5</v>
      </c>
      <c r="BJ11" s="72">
        <f t="shared" si="5"/>
        <v>21.3</v>
      </c>
      <c r="BK11" s="72">
        <f t="shared" si="6"/>
        <v>0</v>
      </c>
      <c r="BL11" s="107" t="e">
        <f t="shared" si="2"/>
        <v>#NUM!</v>
      </c>
      <c r="BM11" s="579">
        <f t="shared" si="7"/>
        <v>38.5</v>
      </c>
      <c r="BN11" s="72">
        <f t="shared" si="8"/>
        <v>21.3</v>
      </c>
      <c r="BO11" s="72">
        <f t="shared" si="9"/>
        <v>180.75117370892016</v>
      </c>
      <c r="BP11" s="107">
        <f t="shared" si="3"/>
        <v>0.519712135456645</v>
      </c>
    </row>
    <row r="12" spans="1:69" s="5" customFormat="1" ht="38.25">
      <c r="A12" s="164">
        <v>15</v>
      </c>
      <c r="B12" s="163">
        <v>10</v>
      </c>
      <c r="C12" s="163" t="s">
        <v>1116</v>
      </c>
      <c r="D12" s="163" t="s">
        <v>779</v>
      </c>
      <c r="E12" s="165">
        <v>50000</v>
      </c>
      <c r="F12" s="165">
        <v>0</v>
      </c>
      <c r="G12" s="165">
        <f t="shared" si="0"/>
        <v>50000</v>
      </c>
      <c r="H12" s="172">
        <f t="shared" si="1"/>
        <v>1</v>
      </c>
      <c r="I12" s="166" t="s">
        <v>857</v>
      </c>
      <c r="J12" s="5" t="s">
        <v>1119</v>
      </c>
      <c r="N12" s="5">
        <v>3</v>
      </c>
      <c r="O12" s="167">
        <v>5</v>
      </c>
      <c r="P12" s="167">
        <v>0.5</v>
      </c>
      <c r="R12" s="111">
        <v>240</v>
      </c>
      <c r="S12" s="78">
        <v>21</v>
      </c>
      <c r="T12" s="166" t="s">
        <v>857</v>
      </c>
      <c r="U12" s="175"/>
      <c r="V12" s="176"/>
      <c r="W12" s="170">
        <v>0</v>
      </c>
      <c r="X12" s="111">
        <f>'fert +pest rates'!D12</f>
        <v>170.43</v>
      </c>
      <c r="Y12" s="5">
        <f>'fert +pest rates'!I12</f>
        <v>182.78</v>
      </c>
      <c r="Z12" s="166">
        <f>'fert +pest rates'!N12</f>
        <v>0</v>
      </c>
      <c r="AA12" s="166">
        <f>'fert +pest rates'!O12</f>
        <v>0</v>
      </c>
      <c r="AB12" s="5">
        <f t="shared" si="10"/>
        <v>0</v>
      </c>
      <c r="AC12" s="5">
        <f t="shared" si="11"/>
        <v>0</v>
      </c>
      <c r="AD12" s="108">
        <v>202</v>
      </c>
      <c r="AE12" s="428" t="str">
        <f>'fert +pest rates'!Q12</f>
        <v>.5L Atrazine.ha; .3L Diuron/ha; 1L 2-4-D/ha</v>
      </c>
      <c r="AF12" s="108">
        <v>0.5</v>
      </c>
      <c r="AG12" s="108">
        <v>3</v>
      </c>
      <c r="AH12" s="108">
        <v>1</v>
      </c>
      <c r="AI12" s="108"/>
      <c r="AJ12" s="108"/>
      <c r="AK12" s="415">
        <f>'fert +pest rates'!S12</f>
        <v>0</v>
      </c>
      <c r="AL12" s="108"/>
      <c r="AM12" s="108"/>
      <c r="AN12" s="108"/>
      <c r="AO12" s="417"/>
      <c r="AP12" s="108"/>
      <c r="AQ12" s="108"/>
      <c r="AR12" s="108"/>
      <c r="AS12" s="108"/>
      <c r="AT12" s="108">
        <v>0.15</v>
      </c>
      <c r="AU12" s="108"/>
      <c r="AV12" s="108"/>
      <c r="AW12" s="108"/>
      <c r="AX12" s="108">
        <v>0.3</v>
      </c>
      <c r="AZ12" s="166" t="s">
        <v>857</v>
      </c>
      <c r="BA12" s="166" t="s">
        <v>182</v>
      </c>
      <c r="BB12" s="166"/>
      <c r="BD12" s="541">
        <f>BQ12</f>
        <v>0.13862943611198908</v>
      </c>
      <c r="BE12" s="541">
        <f t="shared" si="4"/>
        <v>0.13862943611198908</v>
      </c>
      <c r="BG12" s="5">
        <v>10.5</v>
      </c>
      <c r="BH12" s="5">
        <v>240</v>
      </c>
      <c r="BI12" s="78">
        <f>S12</f>
        <v>21</v>
      </c>
      <c r="BJ12" s="72">
        <f t="shared" si="5"/>
        <v>36</v>
      </c>
      <c r="BK12" s="72">
        <f t="shared" si="6"/>
        <v>29.166666666666668</v>
      </c>
      <c r="BL12" s="107">
        <f t="shared" si="2"/>
        <v>0.3373026504695459</v>
      </c>
      <c r="BM12" s="579">
        <f t="shared" si="7"/>
        <v>21</v>
      </c>
      <c r="BN12" s="72">
        <f t="shared" si="8"/>
        <v>36</v>
      </c>
      <c r="BO12" s="72">
        <f t="shared" si="9"/>
        <v>58.333333333333336</v>
      </c>
      <c r="BP12" s="107">
        <f t="shared" si="3"/>
        <v>0.4066173685255404</v>
      </c>
      <c r="BQ12" s="40">
        <f>(BP12-BL12)*2</f>
        <v>0.13862943611198908</v>
      </c>
    </row>
    <row r="13" spans="1:68" s="5" customFormat="1" ht="51">
      <c r="A13" s="164">
        <v>16</v>
      </c>
      <c r="B13" s="163">
        <v>11</v>
      </c>
      <c r="C13" s="163" t="s">
        <v>1116</v>
      </c>
      <c r="D13" s="163" t="s">
        <v>779</v>
      </c>
      <c r="E13" s="165">
        <v>120000</v>
      </c>
      <c r="F13" s="165">
        <v>105000</v>
      </c>
      <c r="G13" s="165">
        <f t="shared" si="0"/>
        <v>15000</v>
      </c>
      <c r="H13" s="110">
        <f t="shared" si="1"/>
        <v>0.125</v>
      </c>
      <c r="I13" s="166" t="s">
        <v>823</v>
      </c>
      <c r="J13" s="5" t="s">
        <v>1119</v>
      </c>
      <c r="N13" s="5">
        <v>2</v>
      </c>
      <c r="O13" s="167">
        <v>5</v>
      </c>
      <c r="P13" s="167">
        <v>0</v>
      </c>
      <c r="Q13" s="177"/>
      <c r="R13" s="111">
        <v>100</v>
      </c>
      <c r="S13" s="78">
        <v>30</v>
      </c>
      <c r="T13" s="168"/>
      <c r="U13" s="169" t="s">
        <v>472</v>
      </c>
      <c r="V13" s="170">
        <v>50</v>
      </c>
      <c r="W13" s="170">
        <v>2.5</v>
      </c>
      <c r="X13" s="111">
        <f>'fert +pest rates'!D13</f>
        <v>277.625</v>
      </c>
      <c r="Y13" s="5">
        <f>'fert +pest rates'!I13</f>
        <v>220.5</v>
      </c>
      <c r="Z13" s="166">
        <f>'fert +pest rates'!N13</f>
        <v>0</v>
      </c>
      <c r="AA13" s="166">
        <f>'fert +pest rates'!O13</f>
        <v>0</v>
      </c>
      <c r="AB13" s="5">
        <f t="shared" si="10"/>
        <v>0</v>
      </c>
      <c r="AC13" s="5">
        <f t="shared" si="11"/>
        <v>0</v>
      </c>
      <c r="AD13" s="108">
        <v>121</v>
      </c>
      <c r="AE13" s="428" t="str">
        <f>'fert +pest rates'!Q13</f>
        <v>24D 1 litre per hectare; Diuron 250g per ha, Atrazine 2kg p/ha</v>
      </c>
      <c r="AF13" s="108">
        <v>2</v>
      </c>
      <c r="AG13" s="108">
        <v>0.25</v>
      </c>
      <c r="AH13" s="108">
        <v>1</v>
      </c>
      <c r="AI13" s="108"/>
      <c r="AJ13" s="108"/>
      <c r="AK13" s="415">
        <f>'fert +pest rates'!S13</f>
        <v>0</v>
      </c>
      <c r="AL13" s="108"/>
      <c r="AM13" s="108"/>
      <c r="AN13" s="108"/>
      <c r="AO13" s="417"/>
      <c r="AP13" s="108"/>
      <c r="AQ13" s="108"/>
      <c r="AR13" s="108"/>
      <c r="AS13" s="108"/>
      <c r="AT13" s="108">
        <v>0.15</v>
      </c>
      <c r="AU13" s="108"/>
      <c r="AV13" s="108"/>
      <c r="AW13" s="108"/>
      <c r="AX13" s="108">
        <v>0.3</v>
      </c>
      <c r="AZ13" s="166" t="s">
        <v>823</v>
      </c>
      <c r="BA13" s="168" t="s">
        <v>181</v>
      </c>
      <c r="BB13" s="166"/>
      <c r="BD13" s="541">
        <f>'Recycle pits'!AP21</f>
        <v>0.5059646004237847</v>
      </c>
      <c r="BE13" s="541">
        <f t="shared" si="4"/>
        <v>0.5059646004237847</v>
      </c>
      <c r="BH13" s="5">
        <v>100</v>
      </c>
      <c r="BI13" s="5">
        <v>30</v>
      </c>
      <c r="BJ13" s="72">
        <f t="shared" si="5"/>
        <v>15</v>
      </c>
      <c r="BK13" s="72">
        <f t="shared" si="6"/>
        <v>0</v>
      </c>
      <c r="BL13" s="107" t="e">
        <f t="shared" si="2"/>
        <v>#NUM!</v>
      </c>
      <c r="BM13" s="579">
        <f t="shared" si="7"/>
        <v>30</v>
      </c>
      <c r="BN13" s="72">
        <f t="shared" si="8"/>
        <v>15</v>
      </c>
      <c r="BO13" s="72">
        <f t="shared" si="9"/>
        <v>200</v>
      </c>
      <c r="BP13" s="107">
        <f t="shared" si="3"/>
        <v>0.5298317366548037</v>
      </c>
    </row>
    <row r="14" spans="1:68" s="5" customFormat="1" ht="38.25">
      <c r="A14" s="164">
        <v>17</v>
      </c>
      <c r="B14" s="163">
        <v>12</v>
      </c>
      <c r="C14" s="163" t="s">
        <v>1116</v>
      </c>
      <c r="D14" s="163" t="s">
        <v>779</v>
      </c>
      <c r="E14" s="165">
        <v>15000</v>
      </c>
      <c r="F14" s="165">
        <v>8000</v>
      </c>
      <c r="G14" s="165">
        <f t="shared" si="0"/>
        <v>7000</v>
      </c>
      <c r="H14" s="110">
        <f t="shared" si="1"/>
        <v>0.4666666666666667</v>
      </c>
      <c r="I14" s="166" t="s">
        <v>825</v>
      </c>
      <c r="J14" s="5" t="s">
        <v>1119</v>
      </c>
      <c r="N14" s="5">
        <v>2</v>
      </c>
      <c r="O14" s="167">
        <v>5</v>
      </c>
      <c r="P14" s="167">
        <v>1</v>
      </c>
      <c r="R14" s="111">
        <v>55</v>
      </c>
      <c r="S14" s="78">
        <v>60</v>
      </c>
      <c r="T14" s="168"/>
      <c r="U14" s="169" t="s">
        <v>472</v>
      </c>
      <c r="V14" s="170">
        <v>50</v>
      </c>
      <c r="W14" s="170">
        <v>2.5</v>
      </c>
      <c r="X14" s="111">
        <f>'fert +pest rates'!D14</f>
        <v>170.545</v>
      </c>
      <c r="Y14" s="5">
        <f>'fert +pest rates'!I14</f>
        <v>255.645</v>
      </c>
      <c r="Z14" s="166">
        <f>'fert +pest rates'!N14</f>
        <v>0</v>
      </c>
      <c r="AA14" s="166">
        <f>'fert +pest rates'!O14</f>
        <v>0</v>
      </c>
      <c r="AB14" s="5">
        <f t="shared" si="10"/>
        <v>0</v>
      </c>
      <c r="AC14" s="5">
        <f t="shared" si="11"/>
        <v>0</v>
      </c>
      <c r="AD14" s="108">
        <v>55</v>
      </c>
      <c r="AE14" s="428" t="str">
        <f>'fert +pest rates'!Q14</f>
        <v>Atrazine: 4L/ha, Diuron: 0-5L/ha, 24D: 1L/ha</v>
      </c>
      <c r="AF14" s="108">
        <v>4</v>
      </c>
      <c r="AG14" s="108">
        <v>0.5</v>
      </c>
      <c r="AH14" s="108">
        <v>1</v>
      </c>
      <c r="AI14" s="108"/>
      <c r="AJ14" s="108"/>
      <c r="AK14" s="415">
        <f>'fert +pest rates'!S14</f>
        <v>0</v>
      </c>
      <c r="AL14" s="108"/>
      <c r="AM14" s="108"/>
      <c r="AN14" s="108"/>
      <c r="AO14" s="417"/>
      <c r="AP14" s="108"/>
      <c r="AQ14" s="108"/>
      <c r="AR14" s="108"/>
      <c r="AS14" s="108"/>
      <c r="AT14" s="108">
        <v>0.15</v>
      </c>
      <c r="AU14" s="108"/>
      <c r="AV14" s="108"/>
      <c r="AW14" s="108"/>
      <c r="AX14" s="108">
        <v>0.3</v>
      </c>
      <c r="AZ14" s="166" t="s">
        <v>825</v>
      </c>
      <c r="BA14" s="168" t="s">
        <v>181</v>
      </c>
      <c r="BB14" s="166"/>
      <c r="BD14" s="541">
        <f>'Recycle pits'!AP22</f>
        <v>0.8</v>
      </c>
      <c r="BE14" s="541">
        <f t="shared" si="4"/>
        <v>0.8</v>
      </c>
      <c r="BH14" s="5">
        <v>55</v>
      </c>
      <c r="BI14" s="5">
        <v>60</v>
      </c>
      <c r="BJ14" s="72">
        <f t="shared" si="5"/>
        <v>8.25</v>
      </c>
      <c r="BK14" s="72">
        <f t="shared" si="6"/>
        <v>0</v>
      </c>
      <c r="BL14" s="107" t="e">
        <f t="shared" si="2"/>
        <v>#NUM!</v>
      </c>
      <c r="BM14" s="579">
        <f t="shared" si="7"/>
        <v>60</v>
      </c>
      <c r="BN14" s="72">
        <f t="shared" si="8"/>
        <v>8.25</v>
      </c>
      <c r="BO14" s="72">
        <f t="shared" si="9"/>
        <v>727.2727272727273</v>
      </c>
      <c r="BP14" s="107">
        <f t="shared" si="3"/>
        <v>0.8</v>
      </c>
    </row>
    <row r="15" spans="1:68" s="5" customFormat="1" ht="25.5">
      <c r="A15" s="164">
        <v>21</v>
      </c>
      <c r="B15" s="163">
        <v>13</v>
      </c>
      <c r="C15" s="163" t="s">
        <v>1116</v>
      </c>
      <c r="D15" s="163" t="s">
        <v>779</v>
      </c>
      <c r="E15" s="165">
        <v>21000</v>
      </c>
      <c r="F15" s="165">
        <v>11000</v>
      </c>
      <c r="G15" s="165">
        <f t="shared" si="0"/>
        <v>10000</v>
      </c>
      <c r="H15" s="110">
        <f t="shared" si="1"/>
        <v>0.47619047619047616</v>
      </c>
      <c r="I15" s="166" t="s">
        <v>823</v>
      </c>
      <c r="J15" s="5" t="s">
        <v>1119</v>
      </c>
      <c r="N15" s="5">
        <v>3</v>
      </c>
      <c r="O15" s="167">
        <v>5</v>
      </c>
      <c r="P15" s="167">
        <v>0</v>
      </c>
      <c r="R15" s="178">
        <v>113</v>
      </c>
      <c r="S15" s="179">
        <v>2.1</v>
      </c>
      <c r="T15" s="168"/>
      <c r="U15" s="169" t="s">
        <v>472</v>
      </c>
      <c r="V15" s="170">
        <v>50</v>
      </c>
      <c r="W15" s="170">
        <v>2.5</v>
      </c>
      <c r="X15" s="111">
        <f>'fert +pest rates'!D15</f>
        <v>113.62</v>
      </c>
      <c r="Y15" s="5">
        <f>'fert +pest rates'!I15</f>
        <v>176.256</v>
      </c>
      <c r="Z15" s="166">
        <f>'fert +pest rates'!N15</f>
        <v>0</v>
      </c>
      <c r="AA15" s="166">
        <f>'fert +pest rates'!O15</f>
        <v>0</v>
      </c>
      <c r="AB15" s="5">
        <f t="shared" si="10"/>
        <v>0</v>
      </c>
      <c r="AC15" s="5">
        <f t="shared" si="11"/>
        <v>0</v>
      </c>
      <c r="AD15" s="108">
        <v>47</v>
      </c>
      <c r="AE15" s="428" t="str">
        <f>'fert +pest rates'!Q15</f>
        <v>2kg/ha atrazine; 2kg/ha 2-4-D</v>
      </c>
      <c r="AF15" s="108">
        <v>2</v>
      </c>
      <c r="AG15" s="108"/>
      <c r="AH15" s="108">
        <v>2</v>
      </c>
      <c r="AI15" s="108"/>
      <c r="AJ15" s="108"/>
      <c r="AK15" s="415">
        <f>'fert +pest rates'!S15</f>
        <v>0</v>
      </c>
      <c r="AL15" s="108"/>
      <c r="AM15" s="108"/>
      <c r="AN15" s="108"/>
      <c r="AO15" s="417"/>
      <c r="AP15" s="108"/>
      <c r="AQ15" s="108"/>
      <c r="AR15" s="108"/>
      <c r="AS15" s="108"/>
      <c r="AT15" s="108">
        <v>0.15</v>
      </c>
      <c r="AU15" s="108"/>
      <c r="AV15" s="108"/>
      <c r="AW15" s="108"/>
      <c r="AX15" s="108">
        <v>0.3</v>
      </c>
      <c r="AZ15" s="166" t="s">
        <v>823</v>
      </c>
      <c r="BA15" s="168" t="s">
        <v>181</v>
      </c>
      <c r="BB15" s="166"/>
      <c r="BD15" s="541">
        <f>'Recycle pits'!AP23</f>
        <v>0.1259302109778986</v>
      </c>
      <c r="BE15" s="541">
        <f t="shared" si="4"/>
        <v>0.1259302109778986</v>
      </c>
      <c r="BH15" s="5">
        <v>113</v>
      </c>
      <c r="BI15" s="5">
        <v>2.1</v>
      </c>
      <c r="BJ15" s="72">
        <f t="shared" si="5"/>
        <v>16.95</v>
      </c>
      <c r="BK15" s="72">
        <f t="shared" si="6"/>
        <v>0</v>
      </c>
      <c r="BL15" s="107" t="e">
        <f t="shared" si="2"/>
        <v>#NUM!</v>
      </c>
      <c r="BM15" s="579">
        <f t="shared" si="7"/>
        <v>2.1</v>
      </c>
      <c r="BN15" s="72">
        <f t="shared" si="8"/>
        <v>16.95</v>
      </c>
      <c r="BO15" s="72">
        <f t="shared" si="9"/>
        <v>12.389380530973453</v>
      </c>
      <c r="BP15" s="107">
        <f t="shared" si="3"/>
        <v>0.25168396968910095</v>
      </c>
    </row>
    <row r="16" spans="1:68" s="189" customFormat="1" ht="38.25">
      <c r="A16" s="185">
        <v>22</v>
      </c>
      <c r="B16" s="184">
        <v>14</v>
      </c>
      <c r="C16" s="184" t="s">
        <v>1116</v>
      </c>
      <c r="D16" s="184" t="s">
        <v>779</v>
      </c>
      <c r="E16" s="186">
        <v>15000</v>
      </c>
      <c r="F16" s="186">
        <v>7500</v>
      </c>
      <c r="G16" s="186">
        <f t="shared" si="0"/>
        <v>7500</v>
      </c>
      <c r="H16" s="187">
        <f t="shared" si="1"/>
        <v>0.5</v>
      </c>
      <c r="I16" s="188" t="s">
        <v>830</v>
      </c>
      <c r="J16" s="189" t="s">
        <v>1119</v>
      </c>
      <c r="N16" s="189">
        <v>3</v>
      </c>
      <c r="O16" s="190">
        <v>5</v>
      </c>
      <c r="P16" s="190">
        <v>0</v>
      </c>
      <c r="R16" s="191">
        <v>405</v>
      </c>
      <c r="S16" s="192"/>
      <c r="T16" s="193" t="s">
        <v>1096</v>
      </c>
      <c r="U16" s="194"/>
      <c r="V16" s="195"/>
      <c r="W16" s="196">
        <v>0</v>
      </c>
      <c r="X16" s="111">
        <f>'fert +pest rates'!D16</f>
        <v>90.896</v>
      </c>
      <c r="Y16" s="5">
        <f>'fert +pest rates'!I16</f>
        <v>169.68900000000002</v>
      </c>
      <c r="Z16" s="166">
        <f>'fert +pest rates'!N16</f>
        <v>0</v>
      </c>
      <c r="AA16" s="166">
        <f>'fert +pest rates'!O16</f>
        <v>0</v>
      </c>
      <c r="AB16" s="5">
        <f t="shared" si="10"/>
        <v>0</v>
      </c>
      <c r="AC16" s="5">
        <f t="shared" si="11"/>
        <v>0</v>
      </c>
      <c r="AD16" s="197">
        <v>36</v>
      </c>
      <c r="AE16" s="430" t="str">
        <f>'fert +pest rates'!Q16</f>
        <v>0.5 kg/ha Diuro, Amieide 1-1.2L/ha</v>
      </c>
      <c r="AG16" s="197">
        <v>0.5</v>
      </c>
      <c r="AH16" s="197"/>
      <c r="AI16" s="197"/>
      <c r="AJ16" s="197"/>
      <c r="AK16" s="415">
        <f>'fert +pest rates'!S16</f>
        <v>0</v>
      </c>
      <c r="AL16" s="197"/>
      <c r="AM16" s="197"/>
      <c r="AN16" s="197"/>
      <c r="AO16" s="419"/>
      <c r="AP16" s="197"/>
      <c r="AQ16" s="197"/>
      <c r="AR16" s="197"/>
      <c r="AS16" s="197"/>
      <c r="AT16" s="197">
        <v>0.15</v>
      </c>
      <c r="AU16" s="108"/>
      <c r="AV16" s="197"/>
      <c r="AW16" s="197"/>
      <c r="AX16" s="197">
        <v>0.3</v>
      </c>
      <c r="AZ16" s="188" t="s">
        <v>830</v>
      </c>
      <c r="BA16" s="193" t="s">
        <v>1096</v>
      </c>
      <c r="BB16" s="188" t="s">
        <v>439</v>
      </c>
      <c r="BC16" s="540">
        <v>0.001</v>
      </c>
      <c r="BD16" s="540">
        <v>0.5</v>
      </c>
      <c r="BE16" s="541">
        <f t="shared" si="4"/>
        <v>0.5</v>
      </c>
      <c r="BH16" s="189">
        <v>405</v>
      </c>
      <c r="BJ16" s="72">
        <f t="shared" si="5"/>
        <v>60.75</v>
      </c>
      <c r="BK16" s="72">
        <f t="shared" si="6"/>
        <v>0</v>
      </c>
      <c r="BL16" s="107" t="e">
        <f t="shared" si="2"/>
        <v>#NUM!</v>
      </c>
      <c r="BM16" s="579">
        <f t="shared" si="7"/>
        <v>0</v>
      </c>
      <c r="BN16" s="72">
        <f t="shared" si="8"/>
        <v>60.75</v>
      </c>
      <c r="BO16" s="72">
        <f t="shared" si="9"/>
        <v>0</v>
      </c>
      <c r="BP16" s="107" t="e">
        <f t="shared" si="3"/>
        <v>#NUM!</v>
      </c>
    </row>
    <row r="17" spans="1:68" s="189" customFormat="1" ht="140.25">
      <c r="A17" s="185" t="s">
        <v>787</v>
      </c>
      <c r="B17" s="184">
        <v>15</v>
      </c>
      <c r="C17" s="184" t="s">
        <v>1116</v>
      </c>
      <c r="D17" s="184" t="s">
        <v>779</v>
      </c>
      <c r="E17" s="186">
        <v>40000</v>
      </c>
      <c r="F17" s="186">
        <v>15000</v>
      </c>
      <c r="G17" s="186">
        <f t="shared" si="0"/>
        <v>25000</v>
      </c>
      <c r="H17" s="187">
        <f t="shared" si="1"/>
        <v>0.625</v>
      </c>
      <c r="I17" s="188" t="s">
        <v>828</v>
      </c>
      <c r="J17" s="189" t="s">
        <v>1119</v>
      </c>
      <c r="N17" s="189">
        <v>3</v>
      </c>
      <c r="O17" s="190">
        <v>5</v>
      </c>
      <c r="P17" s="190">
        <v>0</v>
      </c>
      <c r="R17" s="191"/>
      <c r="S17" s="192"/>
      <c r="T17" s="193" t="s">
        <v>426</v>
      </c>
      <c r="U17" s="198" t="s">
        <v>472</v>
      </c>
      <c r="V17" s="196">
        <v>50</v>
      </c>
      <c r="W17" s="196">
        <v>2.5</v>
      </c>
      <c r="X17" s="111">
        <f>'fert +pest rates'!D17</f>
        <v>116.7075</v>
      </c>
      <c r="Y17" s="5">
        <f>'fert +pest rates'!I17</f>
        <v>263.055</v>
      </c>
      <c r="Z17" s="166">
        <f>'fert +pest rates'!N17</f>
        <v>0</v>
      </c>
      <c r="AA17" s="166">
        <f>'fert +pest rates'!O17</f>
        <v>0</v>
      </c>
      <c r="AB17" s="5">
        <f t="shared" si="10"/>
        <v>0</v>
      </c>
      <c r="AC17" s="5">
        <f t="shared" si="11"/>
        <v>0</v>
      </c>
      <c r="AD17" s="197">
        <v>121</v>
      </c>
      <c r="AE17" s="428" t="str">
        <f>'fert +pest rates'!Q17</f>
        <v>Atrazine: 1-1.5 kg/ha, Diuron: 200g/ha</v>
      </c>
      <c r="AF17" s="197">
        <v>1.25</v>
      </c>
      <c r="AG17" s="197">
        <v>0.2</v>
      </c>
      <c r="AH17" s="197"/>
      <c r="AI17" s="197"/>
      <c r="AJ17" s="197"/>
      <c r="AK17" s="423" t="str">
        <f>'fert +pest rates'!S17</f>
        <v>With GPS controlled spraying we can eliminate overlap and reduce chemical applcations. Better placement and positiioning of chemical fertilizers</v>
      </c>
      <c r="AL17" s="197"/>
      <c r="AM17" s="197"/>
      <c r="AN17" s="197"/>
      <c r="AO17" s="419"/>
      <c r="AP17" s="197"/>
      <c r="AQ17" s="197"/>
      <c r="AR17" s="197"/>
      <c r="AS17" s="197"/>
      <c r="AT17" s="197">
        <v>0.15</v>
      </c>
      <c r="AU17" s="108"/>
      <c r="AV17" s="197"/>
      <c r="AW17" s="197"/>
      <c r="AX17" s="197">
        <v>0.3</v>
      </c>
      <c r="AZ17" s="188" t="s">
        <v>828</v>
      </c>
      <c r="BA17" s="193" t="s">
        <v>426</v>
      </c>
      <c r="BB17" s="188" t="s">
        <v>442</v>
      </c>
      <c r="BC17" s="540">
        <v>0.0025</v>
      </c>
      <c r="BD17" s="540">
        <v>0.01</v>
      </c>
      <c r="BE17" s="541">
        <f t="shared" si="4"/>
        <v>0.01</v>
      </c>
      <c r="BJ17" s="72">
        <f t="shared" si="5"/>
        <v>0</v>
      </c>
      <c r="BK17" s="72" t="e">
        <f t="shared" si="6"/>
        <v>#DIV/0!</v>
      </c>
      <c r="BL17" s="107" t="e">
        <f t="shared" si="2"/>
        <v>#DIV/0!</v>
      </c>
      <c r="BM17" s="579">
        <f t="shared" si="7"/>
        <v>0</v>
      </c>
      <c r="BN17" s="72">
        <f t="shared" si="8"/>
        <v>0</v>
      </c>
      <c r="BO17" s="72" t="e">
        <f t="shared" si="9"/>
        <v>#DIV/0!</v>
      </c>
      <c r="BP17" s="107" t="e">
        <f t="shared" si="3"/>
        <v>#DIV/0!</v>
      </c>
    </row>
    <row r="18" spans="1:68" s="189" customFormat="1" ht="89.25">
      <c r="A18" s="185" t="s">
        <v>788</v>
      </c>
      <c r="B18" s="184">
        <v>16</v>
      </c>
      <c r="C18" s="184" t="s">
        <v>1116</v>
      </c>
      <c r="D18" s="184" t="s">
        <v>779</v>
      </c>
      <c r="E18" s="186">
        <v>10000</v>
      </c>
      <c r="F18" s="186">
        <v>3000</v>
      </c>
      <c r="G18" s="186">
        <f t="shared" si="0"/>
        <v>7000</v>
      </c>
      <c r="H18" s="187">
        <f t="shared" si="1"/>
        <v>0.7</v>
      </c>
      <c r="I18" s="188" t="s">
        <v>1083</v>
      </c>
      <c r="J18" s="189" t="s">
        <v>1119</v>
      </c>
      <c r="N18" s="189">
        <v>3</v>
      </c>
      <c r="O18" s="190">
        <v>5</v>
      </c>
      <c r="P18" s="190">
        <v>1</v>
      </c>
      <c r="R18" s="191"/>
      <c r="S18" s="192"/>
      <c r="T18" s="193" t="s">
        <v>427</v>
      </c>
      <c r="U18" s="194"/>
      <c r="V18" s="195"/>
      <c r="W18" s="196">
        <v>0</v>
      </c>
      <c r="X18" s="111">
        <f>'fert +pest rates'!D18</f>
        <v>117</v>
      </c>
      <c r="Y18" s="5">
        <f>'fert +pest rates'!I18</f>
        <v>263.055</v>
      </c>
      <c r="Z18" s="236" t="str">
        <f>'fert +pest rates'!N18</f>
        <v>Reduced fertilizer application due to effective beds. Reduce N rates by 11 to 125kg N at plant due to legume. </v>
      </c>
      <c r="AA18" s="236">
        <f>'fert +pest rates'!O18</f>
        <v>0</v>
      </c>
      <c r="AB18" s="76">
        <v>125</v>
      </c>
      <c r="AC18" s="5">
        <f>Y18</f>
        <v>263.055</v>
      </c>
      <c r="AD18" s="197">
        <v>121</v>
      </c>
      <c r="AE18" s="428" t="str">
        <f>'fert +pest rates'!Q18</f>
        <v>Atrazine 1 to 1.5kgs per ha; Diuron 300g/hectare</v>
      </c>
      <c r="AF18" s="197">
        <v>1.25</v>
      </c>
      <c r="AG18" s="197">
        <v>0.3</v>
      </c>
      <c r="AH18" s="197"/>
      <c r="AI18" s="197"/>
      <c r="AJ18" s="197"/>
      <c r="AK18" s="415">
        <v>0</v>
      </c>
      <c r="AL18" s="197"/>
      <c r="AM18" s="197"/>
      <c r="AN18" s="197"/>
      <c r="AO18" s="419"/>
      <c r="AP18" s="197"/>
      <c r="AQ18" s="197"/>
      <c r="AR18" s="197"/>
      <c r="AS18" s="197"/>
      <c r="AT18" s="197">
        <v>0.15</v>
      </c>
      <c r="AU18" s="108"/>
      <c r="AV18" s="197"/>
      <c r="AW18" s="197"/>
      <c r="AX18" s="197">
        <v>0.3</v>
      </c>
      <c r="AZ18" s="188" t="s">
        <v>1083</v>
      </c>
      <c r="BA18" s="193" t="s">
        <v>427</v>
      </c>
      <c r="BB18" s="188" t="s">
        <v>442</v>
      </c>
      <c r="BC18" s="540">
        <v>0.0025</v>
      </c>
      <c r="BD18" s="540">
        <v>0.01</v>
      </c>
      <c r="BE18" s="541">
        <f t="shared" si="4"/>
        <v>0.01</v>
      </c>
      <c r="BJ18" s="72">
        <f t="shared" si="5"/>
        <v>0</v>
      </c>
      <c r="BK18" s="72" t="e">
        <f t="shared" si="6"/>
        <v>#DIV/0!</v>
      </c>
      <c r="BL18" s="107" t="e">
        <f t="shared" si="2"/>
        <v>#DIV/0!</v>
      </c>
      <c r="BM18" s="579">
        <f t="shared" si="7"/>
        <v>0</v>
      </c>
      <c r="BN18" s="72">
        <f t="shared" si="8"/>
        <v>0</v>
      </c>
      <c r="BO18" s="72" t="e">
        <f t="shared" si="9"/>
        <v>#DIV/0!</v>
      </c>
      <c r="BP18" s="107" t="e">
        <f t="shared" si="3"/>
        <v>#DIV/0!</v>
      </c>
    </row>
    <row r="19" spans="1:68" s="189" customFormat="1" ht="51">
      <c r="A19" s="185">
        <v>28</v>
      </c>
      <c r="B19" s="184">
        <v>17</v>
      </c>
      <c r="C19" s="184" t="s">
        <v>1116</v>
      </c>
      <c r="D19" s="184" t="s">
        <v>779</v>
      </c>
      <c r="E19" s="186">
        <v>70000</v>
      </c>
      <c r="F19" s="186">
        <v>60000</v>
      </c>
      <c r="G19" s="186">
        <f t="shared" si="0"/>
        <v>10000</v>
      </c>
      <c r="H19" s="187">
        <f t="shared" si="1"/>
        <v>0.14285714285714285</v>
      </c>
      <c r="I19" s="188" t="s">
        <v>477</v>
      </c>
      <c r="N19" s="189">
        <v>3</v>
      </c>
      <c r="O19" s="190">
        <v>6</v>
      </c>
      <c r="P19" s="190">
        <v>0</v>
      </c>
      <c r="R19" s="191"/>
      <c r="S19" s="192"/>
      <c r="T19" s="193" t="s">
        <v>1096</v>
      </c>
      <c r="U19" s="194" t="s">
        <v>478</v>
      </c>
      <c r="V19" s="195">
        <v>50</v>
      </c>
      <c r="W19" s="196">
        <v>2.5</v>
      </c>
      <c r="X19" s="111">
        <f>'fert +pest rates'!D19</f>
        <v>148.925</v>
      </c>
      <c r="Y19" s="5">
        <f>'fert +pest rates'!I19</f>
        <v>108.0625</v>
      </c>
      <c r="Z19" s="166">
        <f>'fert +pest rates'!N19</f>
        <v>0</v>
      </c>
      <c r="AA19" s="166">
        <f>'fert +pest rates'!O19</f>
        <v>0</v>
      </c>
      <c r="AB19" s="5">
        <f t="shared" si="10"/>
        <v>0</v>
      </c>
      <c r="AC19" s="5">
        <f t="shared" si="11"/>
        <v>0</v>
      </c>
      <c r="AD19" s="197">
        <v>100</v>
      </c>
      <c r="AE19" s="428">
        <f>'fert +pest rates'!Q19</f>
        <v>0</v>
      </c>
      <c r="AF19" s="197"/>
      <c r="AG19" s="197"/>
      <c r="AH19" s="197"/>
      <c r="AI19" s="197"/>
      <c r="AJ19" s="197"/>
      <c r="AK19" s="415">
        <f>'fert +pest rates'!S19</f>
        <v>0</v>
      </c>
      <c r="AL19" s="197"/>
      <c r="AM19" s="197"/>
      <c r="AN19" s="197"/>
      <c r="AO19" s="419"/>
      <c r="AP19" s="197"/>
      <c r="AQ19" s="197"/>
      <c r="AR19" s="197"/>
      <c r="AS19" s="197"/>
      <c r="AT19" s="197">
        <v>0.15</v>
      </c>
      <c r="AU19" s="108"/>
      <c r="AV19" s="197"/>
      <c r="AW19" s="197"/>
      <c r="AX19" s="197">
        <v>0.3</v>
      </c>
      <c r="AZ19" s="188" t="s">
        <v>477</v>
      </c>
      <c r="BA19" s="193" t="s">
        <v>445</v>
      </c>
      <c r="BB19" s="188" t="s">
        <v>444</v>
      </c>
      <c r="BC19" s="540">
        <v>0.005</v>
      </c>
      <c r="BD19" s="540">
        <v>0.02</v>
      </c>
      <c r="BE19" s="541">
        <f t="shared" si="4"/>
        <v>0.02</v>
      </c>
      <c r="BJ19" s="72">
        <f t="shared" si="5"/>
        <v>0</v>
      </c>
      <c r="BK19" s="72" t="e">
        <f t="shared" si="6"/>
        <v>#DIV/0!</v>
      </c>
      <c r="BL19" s="107" t="e">
        <f t="shared" si="2"/>
        <v>#DIV/0!</v>
      </c>
      <c r="BM19" s="579">
        <f t="shared" si="7"/>
        <v>0</v>
      </c>
      <c r="BN19" s="72">
        <f t="shared" si="8"/>
        <v>0</v>
      </c>
      <c r="BO19" s="72" t="e">
        <f t="shared" si="9"/>
        <v>#DIV/0!</v>
      </c>
      <c r="BP19" s="107" t="e">
        <f t="shared" si="3"/>
        <v>#DIV/0!</v>
      </c>
    </row>
    <row r="20" spans="1:68" s="189" customFormat="1" ht="139.5">
      <c r="A20" s="185">
        <v>29</v>
      </c>
      <c r="B20" s="184">
        <v>18</v>
      </c>
      <c r="C20" s="184" t="s">
        <v>1116</v>
      </c>
      <c r="D20" s="184" t="s">
        <v>779</v>
      </c>
      <c r="E20" s="186">
        <v>72000</v>
      </c>
      <c r="F20" s="186">
        <v>18000</v>
      </c>
      <c r="G20" s="186">
        <f t="shared" si="0"/>
        <v>54000</v>
      </c>
      <c r="H20" s="187">
        <f t="shared" si="1"/>
        <v>0.75</v>
      </c>
      <c r="I20" s="188" t="s">
        <v>831</v>
      </c>
      <c r="J20" s="834" t="s">
        <v>1119</v>
      </c>
      <c r="N20" s="189">
        <v>2</v>
      </c>
      <c r="O20" s="190">
        <v>5</v>
      </c>
      <c r="P20" s="190">
        <v>0</v>
      </c>
      <c r="R20" s="191"/>
      <c r="S20" s="192"/>
      <c r="T20" s="193" t="s">
        <v>1097</v>
      </c>
      <c r="U20" s="198" t="s">
        <v>479</v>
      </c>
      <c r="V20" s="196">
        <v>100</v>
      </c>
      <c r="W20" s="196">
        <v>5</v>
      </c>
      <c r="X20" s="111">
        <f>'fert +pest rates'!D20</f>
        <v>33.345</v>
      </c>
      <c r="Y20" s="5">
        <f>'fert +pest rates'!I20</f>
        <v>195</v>
      </c>
      <c r="Z20" s="166">
        <f>'fert +pest rates'!N20</f>
        <v>0</v>
      </c>
      <c r="AA20" s="166">
        <f>'fert +pest rates'!O20</f>
        <v>0</v>
      </c>
      <c r="AB20" s="5">
        <f t="shared" si="10"/>
        <v>0</v>
      </c>
      <c r="AC20" s="5">
        <f t="shared" si="11"/>
        <v>0</v>
      </c>
      <c r="AD20" s="197">
        <v>270</v>
      </c>
      <c r="AE20" s="428">
        <f>'fert +pest rates'!Q20</f>
        <v>0</v>
      </c>
      <c r="AF20" s="197"/>
      <c r="AG20" s="197"/>
      <c r="AH20" s="197"/>
      <c r="AI20" s="197"/>
      <c r="AJ20" s="197"/>
      <c r="AK20" s="415">
        <f>'fert +pest rates'!S20</f>
        <v>0</v>
      </c>
      <c r="AL20" s="197"/>
      <c r="AM20" s="197"/>
      <c r="AN20" s="197"/>
      <c r="AO20" s="419"/>
      <c r="AP20" s="197"/>
      <c r="AQ20" s="197"/>
      <c r="AR20" s="197"/>
      <c r="AS20" s="197"/>
      <c r="AT20" s="197">
        <v>0.15</v>
      </c>
      <c r="AU20" s="108"/>
      <c r="AV20" s="197"/>
      <c r="AW20" s="197"/>
      <c r="AX20" s="197">
        <v>0.3</v>
      </c>
      <c r="AZ20" s="188" t="s">
        <v>831</v>
      </c>
      <c r="BA20" s="193" t="s">
        <v>446</v>
      </c>
      <c r="BB20" s="547" t="s">
        <v>447</v>
      </c>
      <c r="BD20" s="540">
        <v>0.5</v>
      </c>
      <c r="BE20" s="541">
        <f t="shared" si="4"/>
        <v>0.5</v>
      </c>
      <c r="BJ20" s="72">
        <f t="shared" si="5"/>
        <v>0</v>
      </c>
      <c r="BK20" s="72" t="e">
        <f t="shared" si="6"/>
        <v>#DIV/0!</v>
      </c>
      <c r="BL20" s="107" t="e">
        <f t="shared" si="2"/>
        <v>#DIV/0!</v>
      </c>
      <c r="BM20" s="579">
        <f t="shared" si="7"/>
        <v>0</v>
      </c>
      <c r="BN20" s="72">
        <f t="shared" si="8"/>
        <v>0</v>
      </c>
      <c r="BO20" s="72" t="e">
        <f t="shared" si="9"/>
        <v>#DIV/0!</v>
      </c>
      <c r="BP20" s="107" t="e">
        <f t="shared" si="3"/>
        <v>#DIV/0!</v>
      </c>
    </row>
    <row r="21" spans="1:68" s="5" customFormat="1" ht="51">
      <c r="A21" s="164">
        <v>31</v>
      </c>
      <c r="B21" s="163">
        <v>19</v>
      </c>
      <c r="C21" s="163" t="s">
        <v>1116</v>
      </c>
      <c r="D21" s="163" t="s">
        <v>779</v>
      </c>
      <c r="E21" s="165">
        <v>35000</v>
      </c>
      <c r="F21" s="165">
        <v>5000</v>
      </c>
      <c r="G21" s="165">
        <f t="shared" si="0"/>
        <v>30000</v>
      </c>
      <c r="H21" s="110">
        <f t="shared" si="1"/>
        <v>0.8571428571428571</v>
      </c>
      <c r="I21" s="166" t="s">
        <v>823</v>
      </c>
      <c r="J21" s="835" t="s">
        <v>1119</v>
      </c>
      <c r="N21" s="5">
        <v>3</v>
      </c>
      <c r="O21" s="167">
        <v>5</v>
      </c>
      <c r="P21" s="167">
        <v>0</v>
      </c>
      <c r="R21" s="111">
        <v>40</v>
      </c>
      <c r="S21" s="78"/>
      <c r="T21" s="168"/>
      <c r="V21" s="180"/>
      <c r="W21" s="170">
        <v>0</v>
      </c>
      <c r="X21" s="111">
        <f>'fert +pest rates'!D21</f>
        <v>103.92525</v>
      </c>
      <c r="Y21" s="5">
        <f>'fert +pest rates'!I21</f>
        <v>230.945</v>
      </c>
      <c r="Z21" s="236" t="str">
        <f>'fert +pest rates'!N21</f>
        <v>I will soil test to determine the new rates</v>
      </c>
      <c r="AA21" s="236">
        <f>'fert +pest rates'!O21</f>
        <v>0</v>
      </c>
      <c r="AB21" s="76" t="str">
        <f t="shared" si="10"/>
        <v>I will soil test to determine the new rates</v>
      </c>
      <c r="AC21" s="5">
        <f t="shared" si="11"/>
        <v>0</v>
      </c>
      <c r="AD21" s="108">
        <v>69</v>
      </c>
      <c r="AE21" s="431" t="str">
        <f>'fert +pest rates'!Q21</f>
        <v>Diurex 0.4kg/ha; Atradex 0.5kg/ha - 2kg/ha; Baton 1kg/ha</v>
      </c>
      <c r="AF21" s="108"/>
      <c r="AG21" s="108"/>
      <c r="AH21" s="108"/>
      <c r="AI21" s="108"/>
      <c r="AJ21" s="108"/>
      <c r="AK21" s="423" t="str">
        <f>'fert +pest rates'!S21</f>
        <v>Will reduce if green trash blanketing is implemented</v>
      </c>
      <c r="AL21" s="108"/>
      <c r="AM21" s="108"/>
      <c r="AN21" s="108"/>
      <c r="AO21" s="417"/>
      <c r="AP21" s="108"/>
      <c r="AQ21" s="108"/>
      <c r="AR21" s="108"/>
      <c r="AS21" s="108"/>
      <c r="AT21" s="108">
        <v>0.15</v>
      </c>
      <c r="AU21" s="108"/>
      <c r="AV21" s="108"/>
      <c r="AW21" s="108"/>
      <c r="AX21" s="108">
        <v>0.3</v>
      </c>
      <c r="AZ21" s="166" t="s">
        <v>823</v>
      </c>
      <c r="BA21" s="168" t="s">
        <v>181</v>
      </c>
      <c r="BB21" s="166"/>
      <c r="BD21" s="541">
        <f>'Recycle pits'!AP24</f>
        <v>0.48199601712090423</v>
      </c>
      <c r="BE21" s="541">
        <f t="shared" si="4"/>
        <v>0.48199601712090423</v>
      </c>
      <c r="BH21" s="5">
        <v>40</v>
      </c>
      <c r="BJ21" s="72">
        <f t="shared" si="5"/>
        <v>6</v>
      </c>
      <c r="BK21" s="72">
        <f t="shared" si="6"/>
        <v>0</v>
      </c>
      <c r="BL21" s="107" t="e">
        <f t="shared" si="2"/>
        <v>#NUM!</v>
      </c>
      <c r="BM21" s="579">
        <f t="shared" si="7"/>
        <v>0</v>
      </c>
      <c r="BN21" s="72">
        <f t="shared" si="8"/>
        <v>6</v>
      </c>
      <c r="BO21" s="72">
        <f t="shared" si="9"/>
        <v>0</v>
      </c>
      <c r="BP21" s="107" t="e">
        <f t="shared" si="3"/>
        <v>#NUM!</v>
      </c>
    </row>
    <row r="22" spans="1:68" s="5" customFormat="1" ht="63.75">
      <c r="A22" s="164" t="s">
        <v>789</v>
      </c>
      <c r="B22" s="163">
        <v>20</v>
      </c>
      <c r="C22" s="163" t="s">
        <v>1116</v>
      </c>
      <c r="D22" s="163" t="s">
        <v>779</v>
      </c>
      <c r="E22" s="165">
        <v>22000</v>
      </c>
      <c r="F22" s="165">
        <v>11000</v>
      </c>
      <c r="G22" s="165">
        <f t="shared" si="0"/>
        <v>11000</v>
      </c>
      <c r="H22" s="110">
        <f t="shared" si="1"/>
        <v>0.5</v>
      </c>
      <c r="I22" s="166" t="s">
        <v>491</v>
      </c>
      <c r="J22" s="5" t="s">
        <v>1119</v>
      </c>
      <c r="N22" s="5">
        <v>3</v>
      </c>
      <c r="O22" s="167">
        <v>5</v>
      </c>
      <c r="P22" s="167">
        <v>0</v>
      </c>
      <c r="R22" s="111">
        <v>511</v>
      </c>
      <c r="S22" s="78">
        <v>11</v>
      </c>
      <c r="T22" s="168" t="s">
        <v>1098</v>
      </c>
      <c r="U22" s="169" t="s">
        <v>492</v>
      </c>
      <c r="V22" s="170">
        <v>75</v>
      </c>
      <c r="W22" s="170">
        <v>3.75</v>
      </c>
      <c r="X22" s="111">
        <f>'fert +pest rates'!D22</f>
        <v>194</v>
      </c>
      <c r="Y22" s="5">
        <f>'fert +pest rates'!I22</f>
        <v>285</v>
      </c>
      <c r="Z22" s="166">
        <f>'fert +pest rates'!N22</f>
        <v>0</v>
      </c>
      <c r="AA22" s="166">
        <f>'fert +pest rates'!O22</f>
        <v>0</v>
      </c>
      <c r="AB22" s="5">
        <f t="shared" si="10"/>
        <v>0</v>
      </c>
      <c r="AC22" s="5">
        <f t="shared" si="11"/>
        <v>0</v>
      </c>
      <c r="AD22" s="108">
        <v>652</v>
      </c>
      <c r="AE22" s="428" t="str">
        <f>'fert +pest rates'!Q22</f>
        <v>1.25kg atrazine;   0.5kg Diuron</v>
      </c>
      <c r="AF22" s="108">
        <v>1.25</v>
      </c>
      <c r="AG22" s="108">
        <v>0.5</v>
      </c>
      <c r="AH22" s="108"/>
      <c r="AI22" s="108"/>
      <c r="AJ22" s="108"/>
      <c r="AK22" s="415">
        <f>'fert +pest rates'!S22</f>
        <v>0</v>
      </c>
      <c r="AL22" s="108"/>
      <c r="AM22" s="108"/>
      <c r="AN22" s="108"/>
      <c r="AO22" s="417"/>
      <c r="AP22" s="108"/>
      <c r="AQ22" s="108"/>
      <c r="AR22" s="108"/>
      <c r="AS22" s="108"/>
      <c r="AT22" s="108">
        <v>0.15</v>
      </c>
      <c r="AU22" s="108"/>
      <c r="AV22" s="108"/>
      <c r="AW22" s="108"/>
      <c r="AX22" s="108">
        <v>0.3</v>
      </c>
      <c r="AZ22" s="166" t="s">
        <v>491</v>
      </c>
      <c r="BA22" s="166" t="s">
        <v>182</v>
      </c>
      <c r="BB22" s="166"/>
      <c r="BD22" s="541">
        <v>0.5</v>
      </c>
      <c r="BE22" s="541">
        <f t="shared" si="4"/>
        <v>0.5</v>
      </c>
      <c r="BH22" s="5">
        <v>511</v>
      </c>
      <c r="BI22" s="5">
        <v>11</v>
      </c>
      <c r="BJ22" s="72">
        <f t="shared" si="5"/>
        <v>76.65</v>
      </c>
      <c r="BK22" s="72">
        <f t="shared" si="6"/>
        <v>0</v>
      </c>
      <c r="BL22" s="107" t="e">
        <f t="shared" si="2"/>
        <v>#NUM!</v>
      </c>
      <c r="BM22" s="579">
        <f t="shared" si="7"/>
        <v>11</v>
      </c>
      <c r="BN22" s="72">
        <f t="shared" si="8"/>
        <v>76.65</v>
      </c>
      <c r="BO22" s="72">
        <f t="shared" si="9"/>
        <v>14.350945857795171</v>
      </c>
      <c r="BP22" s="107">
        <f t="shared" si="3"/>
        <v>0.26638158534686385</v>
      </c>
    </row>
    <row r="23" spans="1:69" s="5" customFormat="1" ht="63.75">
      <c r="A23" s="164" t="s">
        <v>790</v>
      </c>
      <c r="B23" s="163">
        <v>21</v>
      </c>
      <c r="C23" s="163" t="s">
        <v>1116</v>
      </c>
      <c r="D23" s="163" t="s">
        <v>779</v>
      </c>
      <c r="E23" s="165">
        <v>40000</v>
      </c>
      <c r="F23" s="165">
        <v>20000</v>
      </c>
      <c r="G23" s="165">
        <f t="shared" si="0"/>
        <v>20000</v>
      </c>
      <c r="H23" s="110">
        <f t="shared" si="1"/>
        <v>0.5</v>
      </c>
      <c r="I23" s="166" t="s">
        <v>493</v>
      </c>
      <c r="J23" s="5" t="s">
        <v>1119</v>
      </c>
      <c r="N23" s="5">
        <v>3</v>
      </c>
      <c r="O23" s="167">
        <v>5</v>
      </c>
      <c r="P23" s="167">
        <v>1</v>
      </c>
      <c r="R23" s="111">
        <v>511</v>
      </c>
      <c r="S23" s="78">
        <v>15</v>
      </c>
      <c r="T23" s="168" t="s">
        <v>1110</v>
      </c>
      <c r="U23" s="169" t="s">
        <v>492</v>
      </c>
      <c r="V23" s="170">
        <v>75</v>
      </c>
      <c r="W23" s="170">
        <v>3.75</v>
      </c>
      <c r="X23" s="111">
        <f>'fert +pest rates'!D23</f>
        <v>194</v>
      </c>
      <c r="Y23" s="5">
        <f>'fert +pest rates'!I23</f>
        <v>285</v>
      </c>
      <c r="Z23" s="166">
        <f>'fert +pest rates'!N23</f>
        <v>0</v>
      </c>
      <c r="AA23" s="166">
        <f>'fert +pest rates'!O23</f>
        <v>0</v>
      </c>
      <c r="AB23" s="5">
        <f t="shared" si="10"/>
        <v>0</v>
      </c>
      <c r="AC23" s="5">
        <f t="shared" si="11"/>
        <v>0</v>
      </c>
      <c r="AD23" s="108">
        <v>1244</v>
      </c>
      <c r="AE23" s="428" t="str">
        <f>'fert +pest rates'!Q23</f>
        <v>1kg atrazine;      0.5kg Diuron</v>
      </c>
      <c r="AF23" s="108">
        <v>1.25</v>
      </c>
      <c r="AG23" s="108">
        <v>0.5</v>
      </c>
      <c r="AH23" s="108"/>
      <c r="AI23" s="108"/>
      <c r="AJ23" s="108"/>
      <c r="AK23" s="415">
        <f>'fert +pest rates'!S23</f>
        <v>0</v>
      </c>
      <c r="AL23" s="108"/>
      <c r="AM23" s="108"/>
      <c r="AN23" s="108"/>
      <c r="AO23" s="417"/>
      <c r="AP23" s="108"/>
      <c r="AQ23" s="108"/>
      <c r="AR23" s="108"/>
      <c r="AS23" s="108"/>
      <c r="AT23" s="108">
        <v>0.15</v>
      </c>
      <c r="AU23" s="108"/>
      <c r="AV23" s="108"/>
      <c r="AW23" s="108"/>
      <c r="AX23" s="108">
        <v>0.3</v>
      </c>
      <c r="AZ23" s="166" t="s">
        <v>493</v>
      </c>
      <c r="BA23" s="168" t="s">
        <v>1052</v>
      </c>
      <c r="BB23" s="166"/>
      <c r="BD23" s="541">
        <f>BQ23</f>
        <v>0.06203098566076792</v>
      </c>
      <c r="BE23" s="541">
        <f t="shared" si="4"/>
        <v>0.06203098566076792</v>
      </c>
      <c r="BG23" s="5">
        <v>11</v>
      </c>
      <c r="BH23" s="5">
        <v>511</v>
      </c>
      <c r="BI23" s="5">
        <v>4</v>
      </c>
      <c r="BJ23" s="72">
        <f t="shared" si="5"/>
        <v>76.65</v>
      </c>
      <c r="BK23" s="72">
        <f t="shared" si="6"/>
        <v>14.350945857795171</v>
      </c>
      <c r="BL23" s="107">
        <f t="shared" si="2"/>
        <v>0.26638158534686385</v>
      </c>
      <c r="BM23" s="579">
        <f t="shared" si="7"/>
        <v>15</v>
      </c>
      <c r="BN23" s="72">
        <f t="shared" si="8"/>
        <v>76.65</v>
      </c>
      <c r="BO23" s="72">
        <f t="shared" si="9"/>
        <v>19.569471624266143</v>
      </c>
      <c r="BP23" s="107">
        <f t="shared" si="3"/>
        <v>0.2973970781772478</v>
      </c>
      <c r="BQ23" s="40">
        <f>(BP23-BL23)*2</f>
        <v>0.06203098566076792</v>
      </c>
    </row>
    <row r="24" spans="1:68" s="5" customFormat="1" ht="63.75">
      <c r="A24" s="164" t="s">
        <v>791</v>
      </c>
      <c r="B24" s="163">
        <v>22</v>
      </c>
      <c r="C24" s="163" t="s">
        <v>1116</v>
      </c>
      <c r="D24" s="163" t="s">
        <v>779</v>
      </c>
      <c r="E24" s="165">
        <v>45000</v>
      </c>
      <c r="F24" s="165">
        <v>15000</v>
      </c>
      <c r="G24" s="165">
        <f t="shared" si="0"/>
        <v>30000</v>
      </c>
      <c r="H24" s="110">
        <f t="shared" si="1"/>
        <v>0.6666666666666666</v>
      </c>
      <c r="I24" s="166" t="s">
        <v>823</v>
      </c>
      <c r="J24" s="5" t="s">
        <v>1119</v>
      </c>
      <c r="N24" s="5">
        <v>3</v>
      </c>
      <c r="O24" s="167">
        <v>5</v>
      </c>
      <c r="P24" s="167">
        <v>0</v>
      </c>
      <c r="R24" s="111">
        <v>150</v>
      </c>
      <c r="S24" s="78">
        <v>5</v>
      </c>
      <c r="T24" s="168"/>
      <c r="U24" s="169" t="s">
        <v>492</v>
      </c>
      <c r="V24" s="170">
        <v>75</v>
      </c>
      <c r="W24" s="170">
        <v>3.75</v>
      </c>
      <c r="X24" s="111">
        <f>'fert +pest rates'!D24</f>
        <v>194</v>
      </c>
      <c r="Y24" s="5">
        <f>'fert +pest rates'!I24</f>
        <v>285</v>
      </c>
      <c r="Z24" s="166">
        <f>'fert +pest rates'!N24</f>
        <v>0</v>
      </c>
      <c r="AA24" s="166">
        <f>'fert +pest rates'!O24</f>
        <v>0</v>
      </c>
      <c r="AB24" s="5">
        <f t="shared" si="10"/>
        <v>0</v>
      </c>
      <c r="AC24" s="5">
        <f t="shared" si="11"/>
        <v>0</v>
      </c>
      <c r="AD24" s="108">
        <v>150</v>
      </c>
      <c r="AE24" s="428" t="str">
        <f>'fert +pest rates'!Q24</f>
        <v>1kg atrazine;      0.5kg Diuron</v>
      </c>
      <c r="AF24" s="108">
        <v>1.25</v>
      </c>
      <c r="AG24" s="108">
        <v>0.5</v>
      </c>
      <c r="AH24" s="108"/>
      <c r="AI24" s="108"/>
      <c r="AJ24" s="108"/>
      <c r="AK24" s="415">
        <f>'fert +pest rates'!S24</f>
        <v>0</v>
      </c>
      <c r="AL24" s="108"/>
      <c r="AM24" s="108"/>
      <c r="AN24" s="108"/>
      <c r="AO24" s="417"/>
      <c r="AP24" s="108"/>
      <c r="AQ24" s="108"/>
      <c r="AR24" s="108"/>
      <c r="AS24" s="108"/>
      <c r="AT24" s="108">
        <v>0.15</v>
      </c>
      <c r="AU24" s="108"/>
      <c r="AV24" s="108"/>
      <c r="AW24" s="108"/>
      <c r="AX24" s="108">
        <v>0.3</v>
      </c>
      <c r="AZ24" s="166" t="s">
        <v>823</v>
      </c>
      <c r="BA24" s="168" t="s">
        <v>181</v>
      </c>
      <c r="BB24" s="166"/>
      <c r="BD24" s="541">
        <f>'Recycle pits'!AP27</f>
        <v>0.1686548668079282</v>
      </c>
      <c r="BE24" s="541">
        <f t="shared" si="4"/>
        <v>0.1686548668079282</v>
      </c>
      <c r="BH24" s="5">
        <v>150</v>
      </c>
      <c r="BI24" s="5">
        <v>5</v>
      </c>
      <c r="BJ24" s="72">
        <f t="shared" si="5"/>
        <v>22.5</v>
      </c>
      <c r="BK24" s="72">
        <f t="shared" si="6"/>
        <v>0</v>
      </c>
      <c r="BL24" s="107" t="e">
        <f t="shared" si="2"/>
        <v>#NUM!</v>
      </c>
      <c r="BM24" s="579">
        <f t="shared" si="7"/>
        <v>5</v>
      </c>
      <c r="BN24" s="72">
        <f t="shared" si="8"/>
        <v>22.5</v>
      </c>
      <c r="BO24" s="72">
        <f t="shared" si="9"/>
        <v>22.22222222222222</v>
      </c>
      <c r="BP24" s="107">
        <f t="shared" si="3"/>
        <v>0.31010927892118173</v>
      </c>
    </row>
    <row r="25" spans="1:68" s="189" customFormat="1" ht="63.75">
      <c r="A25" s="185" t="s">
        <v>792</v>
      </c>
      <c r="B25" s="184">
        <v>23</v>
      </c>
      <c r="C25" s="184" t="s">
        <v>1116</v>
      </c>
      <c r="D25" s="184" t="s">
        <v>779</v>
      </c>
      <c r="E25" s="186">
        <v>16500</v>
      </c>
      <c r="F25" s="186">
        <v>6500</v>
      </c>
      <c r="G25" s="186">
        <f t="shared" si="0"/>
        <v>10000</v>
      </c>
      <c r="H25" s="187">
        <f t="shared" si="1"/>
        <v>0.6060606060606061</v>
      </c>
      <c r="I25" s="188" t="s">
        <v>832</v>
      </c>
      <c r="J25" s="189" t="s">
        <v>1119</v>
      </c>
      <c r="N25" s="189">
        <v>3</v>
      </c>
      <c r="O25" s="190">
        <v>5</v>
      </c>
      <c r="P25" s="190">
        <v>0</v>
      </c>
      <c r="R25" s="191"/>
      <c r="S25" s="192"/>
      <c r="T25" s="193" t="s">
        <v>1099</v>
      </c>
      <c r="U25" s="194" t="s">
        <v>492</v>
      </c>
      <c r="V25" s="195">
        <v>75</v>
      </c>
      <c r="W25" s="196">
        <v>3.75</v>
      </c>
      <c r="X25" s="111">
        <f>'fert +pest rates'!D25</f>
        <v>194</v>
      </c>
      <c r="Y25" s="5">
        <f>'fert +pest rates'!I25</f>
        <v>285</v>
      </c>
      <c r="Z25" s="166">
        <f>'fert +pest rates'!N25</f>
        <v>0</v>
      </c>
      <c r="AA25" s="166">
        <f>'fert +pest rates'!O25</f>
        <v>0</v>
      </c>
      <c r="AB25" s="5">
        <f t="shared" si="10"/>
        <v>0</v>
      </c>
      <c r="AC25" s="5">
        <f t="shared" si="11"/>
        <v>0</v>
      </c>
      <c r="AD25" s="197">
        <f>SUM(AD22:AD24)</f>
        <v>2046</v>
      </c>
      <c r="AE25" s="428">
        <f>'fert +pest rates'!Q25</f>
        <v>0</v>
      </c>
      <c r="AF25" s="108">
        <v>1.25</v>
      </c>
      <c r="AG25" s="108">
        <v>0.5</v>
      </c>
      <c r="AH25" s="197"/>
      <c r="AI25" s="197"/>
      <c r="AJ25" s="197"/>
      <c r="AK25" s="415">
        <f>'fert +pest rates'!S25</f>
        <v>0</v>
      </c>
      <c r="AL25" s="197"/>
      <c r="AM25" s="197"/>
      <c r="AN25" s="197"/>
      <c r="AO25" s="419"/>
      <c r="AP25" s="197"/>
      <c r="AQ25" s="197"/>
      <c r="AR25" s="197"/>
      <c r="AS25" s="197"/>
      <c r="AT25" s="197">
        <v>0.15</v>
      </c>
      <c r="AU25" s="108"/>
      <c r="AV25" s="197"/>
      <c r="AW25" s="197"/>
      <c r="AX25" s="197">
        <v>0.3</v>
      </c>
      <c r="AZ25" s="188" t="s">
        <v>832</v>
      </c>
      <c r="BA25" s="193" t="s">
        <v>42</v>
      </c>
      <c r="BB25" s="188"/>
      <c r="BD25" s="540">
        <v>0.025</v>
      </c>
      <c r="BE25" s="541">
        <f t="shared" si="4"/>
        <v>0.025</v>
      </c>
      <c r="BJ25" s="72">
        <f t="shared" si="5"/>
        <v>0</v>
      </c>
      <c r="BK25" s="72" t="e">
        <f t="shared" si="6"/>
        <v>#DIV/0!</v>
      </c>
      <c r="BL25" s="107" t="e">
        <f t="shared" si="2"/>
        <v>#DIV/0!</v>
      </c>
      <c r="BM25" s="579">
        <f t="shared" si="7"/>
        <v>0</v>
      </c>
      <c r="BN25" s="72">
        <f t="shared" si="8"/>
        <v>0</v>
      </c>
      <c r="BO25" s="72" t="e">
        <f t="shared" si="9"/>
        <v>#DIV/0!</v>
      </c>
      <c r="BP25" s="107" t="e">
        <f t="shared" si="3"/>
        <v>#DIV/0!</v>
      </c>
    </row>
    <row r="26" spans="1:68" s="294" customFormat="1" ht="50.25" customHeight="1">
      <c r="A26" s="289">
        <v>36</v>
      </c>
      <c r="B26" s="290">
        <v>24</v>
      </c>
      <c r="C26" s="290" t="s">
        <v>1116</v>
      </c>
      <c r="D26" s="290" t="s">
        <v>779</v>
      </c>
      <c r="E26" s="291">
        <v>2700</v>
      </c>
      <c r="F26" s="291">
        <v>0</v>
      </c>
      <c r="G26" s="291">
        <f t="shared" si="0"/>
        <v>2700</v>
      </c>
      <c r="H26" s="292">
        <f t="shared" si="1"/>
        <v>1</v>
      </c>
      <c r="I26" s="293" t="s">
        <v>833</v>
      </c>
      <c r="J26" s="294" t="s">
        <v>1119</v>
      </c>
      <c r="N26" s="294">
        <v>3</v>
      </c>
      <c r="O26" s="295">
        <v>5</v>
      </c>
      <c r="P26" s="295">
        <v>1</v>
      </c>
      <c r="R26" s="296"/>
      <c r="S26" s="297"/>
      <c r="T26" s="298" t="s">
        <v>1100</v>
      </c>
      <c r="U26" s="299" t="s">
        <v>472</v>
      </c>
      <c r="V26" s="301"/>
      <c r="W26" s="301">
        <v>0</v>
      </c>
      <c r="X26" s="111">
        <f>'fert +pest rates'!D26</f>
        <v>161.8925</v>
      </c>
      <c r="Y26" s="5">
        <f>'fert +pest rates'!I26</f>
        <v>207.48</v>
      </c>
      <c r="Z26" s="166">
        <f>'fert +pest rates'!N26</f>
        <v>0</v>
      </c>
      <c r="AA26" s="166">
        <f>'fert +pest rates'!O26</f>
        <v>0</v>
      </c>
      <c r="AB26" s="5">
        <f t="shared" si="10"/>
        <v>0</v>
      </c>
      <c r="AC26" s="5">
        <f t="shared" si="11"/>
        <v>0</v>
      </c>
      <c r="AD26" s="302">
        <f>40/2.2</f>
        <v>18.18181818181818</v>
      </c>
      <c r="AE26" s="428">
        <f>'fert +pest rates'!Q26</f>
        <v>0</v>
      </c>
      <c r="AF26" s="302"/>
      <c r="AG26" s="302"/>
      <c r="AH26" s="302"/>
      <c r="AI26" s="302"/>
      <c r="AJ26" s="302"/>
      <c r="AK26" s="415">
        <f>'fert +pest rates'!S26</f>
        <v>0</v>
      </c>
      <c r="AL26" s="302"/>
      <c r="AM26" s="302"/>
      <c r="AN26" s="302"/>
      <c r="AO26" s="420"/>
      <c r="AP26" s="302"/>
      <c r="AQ26" s="302"/>
      <c r="AR26" s="302"/>
      <c r="AS26" s="302"/>
      <c r="AT26" s="302">
        <v>0.15</v>
      </c>
      <c r="AU26" s="108"/>
      <c r="AV26" s="302"/>
      <c r="AW26" s="302"/>
      <c r="AX26" s="302">
        <v>0.3</v>
      </c>
      <c r="AZ26" s="293" t="s">
        <v>833</v>
      </c>
      <c r="BA26" s="298" t="s">
        <v>1100</v>
      </c>
      <c r="BB26" s="293"/>
      <c r="BD26" s="543">
        <v>0.015</v>
      </c>
      <c r="BE26" s="541">
        <f t="shared" si="4"/>
        <v>0.015</v>
      </c>
      <c r="BJ26" s="72">
        <f t="shared" si="5"/>
        <v>0</v>
      </c>
      <c r="BK26" s="72" t="e">
        <f t="shared" si="6"/>
        <v>#DIV/0!</v>
      </c>
      <c r="BL26" s="107" t="e">
        <f t="shared" si="2"/>
        <v>#DIV/0!</v>
      </c>
      <c r="BM26" s="579">
        <f t="shared" si="7"/>
        <v>0</v>
      </c>
      <c r="BN26" s="72">
        <f t="shared" si="8"/>
        <v>0</v>
      </c>
      <c r="BO26" s="72" t="e">
        <f t="shared" si="9"/>
        <v>#DIV/0!</v>
      </c>
      <c r="BP26" s="107" t="e">
        <f t="shared" si="3"/>
        <v>#DIV/0!</v>
      </c>
    </row>
    <row r="27" spans="1:68" s="67" customFormat="1" ht="63.75">
      <c r="A27" s="221">
        <v>37</v>
      </c>
      <c r="B27" s="220">
        <v>25</v>
      </c>
      <c r="C27" s="220" t="s">
        <v>1116</v>
      </c>
      <c r="D27" s="220" t="s">
        <v>779</v>
      </c>
      <c r="E27" s="222">
        <v>22727</v>
      </c>
      <c r="F27" s="222">
        <v>11364</v>
      </c>
      <c r="G27" s="222">
        <f t="shared" si="0"/>
        <v>11363</v>
      </c>
      <c r="H27" s="223">
        <f t="shared" si="1"/>
        <v>0.4999779997359968</v>
      </c>
      <c r="I27" s="57" t="s">
        <v>834</v>
      </c>
      <c r="J27" s="67" t="s">
        <v>1119</v>
      </c>
      <c r="N27" s="67">
        <v>3</v>
      </c>
      <c r="O27" s="224">
        <v>5</v>
      </c>
      <c r="P27" s="224">
        <v>1</v>
      </c>
      <c r="R27" s="225"/>
      <c r="S27" s="226"/>
      <c r="T27" s="227" t="s">
        <v>494</v>
      </c>
      <c r="U27" s="228" t="s">
        <v>495</v>
      </c>
      <c r="V27" s="229">
        <v>50</v>
      </c>
      <c r="W27" s="229">
        <v>2.5</v>
      </c>
      <c r="X27" s="111">
        <f>'fert +pest rates'!D27</f>
        <v>49.647000000000006</v>
      </c>
      <c r="Y27" s="5">
        <f>'fert +pest rates'!I27</f>
        <v>198.58800000000002</v>
      </c>
      <c r="Z27" s="166">
        <f>'fert +pest rates'!N27</f>
        <v>0</v>
      </c>
      <c r="AA27" s="166">
        <f>'fert +pest rates'!O27</f>
        <v>0</v>
      </c>
      <c r="AB27" s="5">
        <f t="shared" si="10"/>
        <v>0</v>
      </c>
      <c r="AC27" s="5">
        <f t="shared" si="11"/>
        <v>0</v>
      </c>
      <c r="AD27" s="230">
        <v>400</v>
      </c>
      <c r="AE27" s="428" t="str">
        <f>'fert +pest rates'!Q27</f>
        <v>.5-.75L Atrazine/ha; 1L Diuron/ha;         2.6L 2-4-D/ha</v>
      </c>
      <c r="AF27" s="230">
        <v>0.62</v>
      </c>
      <c r="AG27" s="230">
        <v>1</v>
      </c>
      <c r="AH27" s="230">
        <v>2.6</v>
      </c>
      <c r="AI27" s="230"/>
      <c r="AJ27" s="230"/>
      <c r="AK27" s="424" t="str">
        <f>'fert +pest rates'!S27</f>
        <v>RoundupCT 2.5L/ha; surpass .5L/ha; Diuron .5L/ha;         2-4-D .5L/ha </v>
      </c>
      <c r="AL27" s="230">
        <v>0</v>
      </c>
      <c r="AM27" s="230">
        <v>0.5</v>
      </c>
      <c r="AN27" s="230">
        <v>0.5</v>
      </c>
      <c r="AO27" s="421">
        <f>(AF27-AL27)</f>
        <v>0.62</v>
      </c>
      <c r="AP27" s="421">
        <f>(AG27-AM27)</f>
        <v>0.5</v>
      </c>
      <c r="AQ27" s="421">
        <f>(AH27-AN27)</f>
        <v>2.1</v>
      </c>
      <c r="AR27" s="230"/>
      <c r="AS27" s="230"/>
      <c r="AT27" s="230">
        <v>0.15</v>
      </c>
      <c r="AU27" s="108"/>
      <c r="AV27" s="230"/>
      <c r="AW27" s="230"/>
      <c r="AX27" s="230">
        <v>0.3</v>
      </c>
      <c r="AZ27" s="57" t="s">
        <v>834</v>
      </c>
      <c r="BA27" s="227" t="s">
        <v>494</v>
      </c>
      <c r="BB27" s="57"/>
      <c r="BC27" s="544">
        <v>0.008</v>
      </c>
      <c r="BD27" s="544">
        <v>0.75</v>
      </c>
      <c r="BE27" s="541">
        <f t="shared" si="4"/>
        <v>0.75</v>
      </c>
      <c r="BJ27" s="72">
        <f t="shared" si="5"/>
        <v>0</v>
      </c>
      <c r="BK27" s="72" t="e">
        <f t="shared" si="6"/>
        <v>#DIV/0!</v>
      </c>
      <c r="BL27" s="107" t="e">
        <f t="shared" si="2"/>
        <v>#DIV/0!</v>
      </c>
      <c r="BM27" s="579">
        <f t="shared" si="7"/>
        <v>0</v>
      </c>
      <c r="BN27" s="72">
        <f t="shared" si="8"/>
        <v>0</v>
      </c>
      <c r="BO27" s="72" t="e">
        <f t="shared" si="9"/>
        <v>#DIV/0!</v>
      </c>
      <c r="BP27" s="107" t="e">
        <f t="shared" si="3"/>
        <v>#DIV/0!</v>
      </c>
    </row>
    <row r="28" spans="1:68" s="5" customFormat="1" ht="38.25">
      <c r="A28" s="164">
        <v>38</v>
      </c>
      <c r="B28" s="163">
        <v>26</v>
      </c>
      <c r="C28" s="163" t="s">
        <v>1116</v>
      </c>
      <c r="D28" s="163" t="s">
        <v>779</v>
      </c>
      <c r="E28" s="165">
        <v>35000</v>
      </c>
      <c r="F28" s="165">
        <v>25000</v>
      </c>
      <c r="G28" s="165">
        <f t="shared" si="0"/>
        <v>10000</v>
      </c>
      <c r="H28" s="110">
        <f t="shared" si="1"/>
        <v>0.2857142857142857</v>
      </c>
      <c r="I28" s="166" t="s">
        <v>823</v>
      </c>
      <c r="J28" s="5" t="s">
        <v>1119</v>
      </c>
      <c r="N28" s="5">
        <v>2</v>
      </c>
      <c r="O28" s="167">
        <v>5</v>
      </c>
      <c r="P28" s="167">
        <v>0</v>
      </c>
      <c r="R28" s="111">
        <v>100</v>
      </c>
      <c r="S28" s="78">
        <v>12</v>
      </c>
      <c r="T28" s="168"/>
      <c r="U28" s="169" t="s">
        <v>496</v>
      </c>
      <c r="V28" s="170">
        <v>25</v>
      </c>
      <c r="W28" s="170">
        <v>1.25</v>
      </c>
      <c r="X28" s="111">
        <f>'fert +pest rates'!D28</f>
        <v>161.8925</v>
      </c>
      <c r="Y28" s="5">
        <f>'fert +pest rates'!I28</f>
        <v>183.75</v>
      </c>
      <c r="Z28" s="236" t="str">
        <f>'fert +pest rates'!N28</f>
        <v>Will reduce rates after legume</v>
      </c>
      <c r="AA28" s="236">
        <f>'fert +pest rates'!O28</f>
        <v>0</v>
      </c>
      <c r="AB28" s="76" t="str">
        <f t="shared" si="10"/>
        <v>Will reduce rates after legume</v>
      </c>
      <c r="AC28" s="5">
        <f t="shared" si="11"/>
        <v>0</v>
      </c>
      <c r="AD28" s="108">
        <v>100</v>
      </c>
      <c r="AE28" s="428" t="str">
        <f>'fert +pest rates'!Q28</f>
        <v>Atrazine .5kg/ha;  Diuron .5kg/ha;                   2-4-D 1L/ha</v>
      </c>
      <c r="AF28" s="108">
        <v>0.5</v>
      </c>
      <c r="AG28" s="108">
        <v>0.5</v>
      </c>
      <c r="AH28" s="108">
        <v>1</v>
      </c>
      <c r="AI28" s="108"/>
      <c r="AJ28" s="108"/>
      <c r="AK28" s="415">
        <f>'fert +pest rates'!S28</f>
        <v>0</v>
      </c>
      <c r="AL28" s="108"/>
      <c r="AM28" s="108"/>
      <c r="AN28" s="108"/>
      <c r="AO28" s="417"/>
      <c r="AP28" s="108"/>
      <c r="AQ28" s="108"/>
      <c r="AR28" s="108"/>
      <c r="AS28" s="108"/>
      <c r="AT28" s="108">
        <v>0.15</v>
      </c>
      <c r="AU28" s="108"/>
      <c r="AV28" s="108"/>
      <c r="AW28" s="108"/>
      <c r="AX28" s="108">
        <v>0.3</v>
      </c>
      <c r="AZ28" s="166" t="s">
        <v>823</v>
      </c>
      <c r="BA28" s="168" t="s">
        <v>181</v>
      </c>
      <c r="BB28" s="166"/>
      <c r="BD28" s="541">
        <f>'Recycle pits'!AP28</f>
        <v>0.3200001105512309</v>
      </c>
      <c r="BE28" s="541">
        <f t="shared" si="4"/>
        <v>0.3200001105512309</v>
      </c>
      <c r="BH28" s="5">
        <v>100</v>
      </c>
      <c r="BI28" s="5">
        <v>12</v>
      </c>
      <c r="BJ28" s="72">
        <f t="shared" si="5"/>
        <v>15</v>
      </c>
      <c r="BK28" s="72">
        <f t="shared" si="6"/>
        <v>0</v>
      </c>
      <c r="BL28" s="107" t="e">
        <f t="shared" si="2"/>
        <v>#NUM!</v>
      </c>
      <c r="BM28" s="579">
        <f t="shared" si="7"/>
        <v>12</v>
      </c>
      <c r="BN28" s="72">
        <f t="shared" si="8"/>
        <v>15</v>
      </c>
      <c r="BO28" s="72">
        <f t="shared" si="9"/>
        <v>80</v>
      </c>
      <c r="BP28" s="107">
        <f t="shared" si="3"/>
        <v>0.4382026634673881</v>
      </c>
    </row>
    <row r="29" spans="1:68" s="5" customFormat="1" ht="51">
      <c r="A29" s="164" t="s">
        <v>793</v>
      </c>
      <c r="B29" s="163">
        <v>27</v>
      </c>
      <c r="C29" s="163" t="s">
        <v>1116</v>
      </c>
      <c r="D29" s="163" t="s">
        <v>779</v>
      </c>
      <c r="E29" s="165">
        <v>150000</v>
      </c>
      <c r="F29" s="165">
        <v>75000</v>
      </c>
      <c r="G29" s="165">
        <f t="shared" si="0"/>
        <v>75000</v>
      </c>
      <c r="H29" s="172">
        <f t="shared" si="1"/>
        <v>0.5</v>
      </c>
      <c r="I29" s="166" t="s">
        <v>497</v>
      </c>
      <c r="J29" s="5" t="s">
        <v>1119</v>
      </c>
      <c r="K29" s="5" t="s">
        <v>839</v>
      </c>
      <c r="N29" s="5">
        <v>2</v>
      </c>
      <c r="O29" s="167">
        <v>5</v>
      </c>
      <c r="P29" s="167">
        <v>1</v>
      </c>
      <c r="R29" s="111">
        <v>250</v>
      </c>
      <c r="S29" s="78"/>
      <c r="T29" s="166" t="s">
        <v>497</v>
      </c>
      <c r="U29" s="169" t="s">
        <v>498</v>
      </c>
      <c r="V29" s="170">
        <v>100</v>
      </c>
      <c r="W29" s="170">
        <v>5</v>
      </c>
      <c r="X29" s="111">
        <f>'fert +pest rates'!D29</f>
        <v>194</v>
      </c>
      <c r="Y29" s="5">
        <f>'fert +pest rates'!I29</f>
        <v>258</v>
      </c>
      <c r="Z29" s="166">
        <f>'fert +pest rates'!N29</f>
        <v>0</v>
      </c>
      <c r="AA29" s="166">
        <f>'fert +pest rates'!O29</f>
        <v>0</v>
      </c>
      <c r="AB29" s="5">
        <f t="shared" si="10"/>
        <v>0</v>
      </c>
      <c r="AC29" s="5">
        <f t="shared" si="11"/>
        <v>0</v>
      </c>
      <c r="AD29" s="108">
        <v>207</v>
      </c>
      <c r="AE29" s="431" t="str">
        <f>'fert +pest rates'!Q29</f>
        <v>Gesapax 7.5L/ha</v>
      </c>
      <c r="AF29" s="108"/>
      <c r="AG29" s="108"/>
      <c r="AH29" s="108"/>
      <c r="AI29" s="108"/>
      <c r="AJ29" s="108"/>
      <c r="AK29" s="415">
        <f>'fert +pest rates'!S29</f>
        <v>0</v>
      </c>
      <c r="AL29" s="108"/>
      <c r="AM29" s="108"/>
      <c r="AN29" s="108"/>
      <c r="AO29" s="417"/>
      <c r="AP29" s="108"/>
      <c r="AQ29" s="108"/>
      <c r="AR29" s="108"/>
      <c r="AS29" s="108"/>
      <c r="AT29" s="108">
        <v>0.15</v>
      </c>
      <c r="AU29" s="108"/>
      <c r="AV29" s="108"/>
      <c r="AW29" s="108"/>
      <c r="AX29" s="108">
        <v>0.3</v>
      </c>
      <c r="AZ29" s="166" t="s">
        <v>497</v>
      </c>
      <c r="BA29" s="166" t="s">
        <v>182</v>
      </c>
      <c r="BB29" s="166"/>
      <c r="BD29" s="541">
        <v>0.2</v>
      </c>
      <c r="BE29" s="541">
        <f t="shared" si="4"/>
        <v>0.2</v>
      </c>
      <c r="BH29" s="5">
        <v>250</v>
      </c>
      <c r="BJ29" s="72">
        <f t="shared" si="5"/>
        <v>37.5</v>
      </c>
      <c r="BK29" s="72">
        <f t="shared" si="6"/>
        <v>0</v>
      </c>
      <c r="BL29" s="107" t="e">
        <f t="shared" si="2"/>
        <v>#NUM!</v>
      </c>
      <c r="BM29" s="579">
        <f t="shared" si="7"/>
        <v>0</v>
      </c>
      <c r="BN29" s="72">
        <f t="shared" si="8"/>
        <v>37.5</v>
      </c>
      <c r="BO29" s="72">
        <f t="shared" si="9"/>
        <v>0</v>
      </c>
      <c r="BP29" s="107" t="e">
        <f t="shared" si="3"/>
        <v>#NUM!</v>
      </c>
    </row>
    <row r="30" spans="1:68" s="189" customFormat="1" ht="51">
      <c r="A30" s="185" t="s">
        <v>794</v>
      </c>
      <c r="B30" s="184">
        <v>28</v>
      </c>
      <c r="C30" s="184" t="s">
        <v>1116</v>
      </c>
      <c r="D30" s="184" t="s">
        <v>779</v>
      </c>
      <c r="E30" s="186">
        <v>7000</v>
      </c>
      <c r="F30" s="186">
        <v>2000</v>
      </c>
      <c r="G30" s="186">
        <f t="shared" si="0"/>
        <v>5000</v>
      </c>
      <c r="H30" s="231">
        <f t="shared" si="1"/>
        <v>0.7142857142857143</v>
      </c>
      <c r="I30" s="188" t="s">
        <v>863</v>
      </c>
      <c r="J30" s="189" t="s">
        <v>1119</v>
      </c>
      <c r="K30" s="189" t="s">
        <v>839</v>
      </c>
      <c r="N30" s="189">
        <v>2</v>
      </c>
      <c r="O30" s="190">
        <v>5</v>
      </c>
      <c r="P30" s="190">
        <v>0.5</v>
      </c>
      <c r="R30" s="191"/>
      <c r="S30" s="192"/>
      <c r="T30" s="193" t="s">
        <v>435</v>
      </c>
      <c r="U30" s="198" t="s">
        <v>498</v>
      </c>
      <c r="V30" s="196">
        <v>100</v>
      </c>
      <c r="W30" s="196">
        <v>5</v>
      </c>
      <c r="X30" s="111">
        <f>'fert +pest rates'!D30</f>
        <v>194</v>
      </c>
      <c r="Y30" s="5">
        <f>'fert +pest rates'!I30</f>
        <v>258</v>
      </c>
      <c r="Z30" s="166">
        <f>'fert +pest rates'!N30</f>
        <v>0</v>
      </c>
      <c r="AA30" s="166">
        <f>'fert +pest rates'!O30</f>
        <v>0</v>
      </c>
      <c r="AB30" s="5">
        <f t="shared" si="10"/>
        <v>0</v>
      </c>
      <c r="AC30" s="5">
        <f t="shared" si="11"/>
        <v>0</v>
      </c>
      <c r="AD30" s="197">
        <v>2500</v>
      </c>
      <c r="AE30" s="428">
        <f>'fert +pest rates'!Q30</f>
        <v>0</v>
      </c>
      <c r="AF30" s="197"/>
      <c r="AG30" s="197"/>
      <c r="AH30" s="197"/>
      <c r="AI30" s="197"/>
      <c r="AJ30" s="197"/>
      <c r="AK30" s="415">
        <f>'fert +pest rates'!S30</f>
        <v>0</v>
      </c>
      <c r="AL30" s="197"/>
      <c r="AM30" s="197"/>
      <c r="AN30" s="197"/>
      <c r="AO30" s="419"/>
      <c r="AP30" s="197"/>
      <c r="AQ30" s="197"/>
      <c r="AR30" s="197"/>
      <c r="AS30" s="197"/>
      <c r="AT30" s="197">
        <v>0.15</v>
      </c>
      <c r="AU30" s="108"/>
      <c r="AV30" s="197"/>
      <c r="AW30" s="197"/>
      <c r="AX30" s="197">
        <v>0.3</v>
      </c>
      <c r="AZ30" s="188" t="s">
        <v>863</v>
      </c>
      <c r="BA30" s="193" t="s">
        <v>663</v>
      </c>
      <c r="BB30" s="188" t="s">
        <v>443</v>
      </c>
      <c r="BC30" s="540">
        <v>0.0008</v>
      </c>
      <c r="BD30" s="540">
        <v>0.000233</v>
      </c>
      <c r="BE30" s="541">
        <f t="shared" si="4"/>
        <v>0.000233</v>
      </c>
      <c r="BJ30" s="72">
        <f t="shared" si="5"/>
        <v>0</v>
      </c>
      <c r="BK30" s="72" t="e">
        <f t="shared" si="6"/>
        <v>#DIV/0!</v>
      </c>
      <c r="BL30" s="107" t="e">
        <f t="shared" si="2"/>
        <v>#DIV/0!</v>
      </c>
      <c r="BM30" s="579">
        <f t="shared" si="7"/>
        <v>0</v>
      </c>
      <c r="BN30" s="72">
        <f t="shared" si="8"/>
        <v>0</v>
      </c>
      <c r="BO30" s="72" t="e">
        <f t="shared" si="9"/>
        <v>#DIV/0!</v>
      </c>
      <c r="BP30" s="107" t="e">
        <f t="shared" si="3"/>
        <v>#DIV/0!</v>
      </c>
    </row>
    <row r="31" spans="1:68" s="189" customFormat="1" ht="51">
      <c r="A31" s="185" t="s">
        <v>795</v>
      </c>
      <c r="B31" s="184">
        <v>29</v>
      </c>
      <c r="C31" s="184" t="s">
        <v>1116</v>
      </c>
      <c r="D31" s="184" t="s">
        <v>779</v>
      </c>
      <c r="E31" s="186">
        <v>150000</v>
      </c>
      <c r="F31" s="186">
        <v>50000</v>
      </c>
      <c r="G31" s="186">
        <f t="shared" si="0"/>
        <v>100000</v>
      </c>
      <c r="H31" s="231">
        <f t="shared" si="1"/>
        <v>0.6666666666666666</v>
      </c>
      <c r="I31" s="188" t="s">
        <v>864</v>
      </c>
      <c r="J31" s="189" t="s">
        <v>1119</v>
      </c>
      <c r="K31" s="189" t="s">
        <v>839</v>
      </c>
      <c r="N31" s="189">
        <v>2</v>
      </c>
      <c r="O31" s="190">
        <v>7</v>
      </c>
      <c r="P31" s="190">
        <v>1</v>
      </c>
      <c r="R31" s="191"/>
      <c r="S31" s="192"/>
      <c r="T31" s="193" t="s">
        <v>499</v>
      </c>
      <c r="U31" s="194"/>
      <c r="V31" s="195"/>
      <c r="W31" s="196">
        <v>0</v>
      </c>
      <c r="X31" s="111">
        <f>'fert +pest rates'!D31</f>
        <v>194</v>
      </c>
      <c r="Y31" s="5">
        <f>'fert +pest rates'!I31</f>
        <v>258</v>
      </c>
      <c r="Z31" s="166">
        <f>'fert +pest rates'!N31</f>
        <v>0</v>
      </c>
      <c r="AA31" s="166">
        <f>'fert +pest rates'!O31</f>
        <v>0</v>
      </c>
      <c r="AB31" s="5">
        <f t="shared" si="10"/>
        <v>0</v>
      </c>
      <c r="AC31" s="5">
        <f t="shared" si="11"/>
        <v>0</v>
      </c>
      <c r="AD31" s="197">
        <v>10</v>
      </c>
      <c r="AE31" s="428">
        <f>'fert +pest rates'!Q31</f>
        <v>0</v>
      </c>
      <c r="AF31" s="197"/>
      <c r="AG31" s="197"/>
      <c r="AH31" s="197"/>
      <c r="AI31" s="197"/>
      <c r="AJ31" s="197"/>
      <c r="AK31" s="415">
        <f>'fert +pest rates'!S31</f>
        <v>0</v>
      </c>
      <c r="AL31" s="197"/>
      <c r="AM31" s="197"/>
      <c r="AN31" s="197"/>
      <c r="AO31" s="419"/>
      <c r="AP31" s="197"/>
      <c r="AQ31" s="197"/>
      <c r="AR31" s="197"/>
      <c r="AS31" s="197"/>
      <c r="AT31" s="197">
        <v>0.15</v>
      </c>
      <c r="AU31" s="108"/>
      <c r="AV31" s="197"/>
      <c r="AW31" s="197"/>
      <c r="AX31" s="197">
        <v>0.3</v>
      </c>
      <c r="AZ31" s="188" t="s">
        <v>864</v>
      </c>
      <c r="BA31" s="193" t="s">
        <v>499</v>
      </c>
      <c r="BB31" s="188"/>
      <c r="BD31" s="540">
        <v>0.5</v>
      </c>
      <c r="BE31" s="541">
        <f t="shared" si="4"/>
        <v>0.5</v>
      </c>
      <c r="BJ31" s="72">
        <f t="shared" si="5"/>
        <v>0</v>
      </c>
      <c r="BK31" s="72" t="e">
        <f t="shared" si="6"/>
        <v>#DIV/0!</v>
      </c>
      <c r="BL31" s="107" t="e">
        <f t="shared" si="2"/>
        <v>#DIV/0!</v>
      </c>
      <c r="BM31" s="579">
        <f t="shared" si="7"/>
        <v>0</v>
      </c>
      <c r="BN31" s="72">
        <f t="shared" si="8"/>
        <v>0</v>
      </c>
      <c r="BO31" s="72" t="e">
        <f t="shared" si="9"/>
        <v>#DIV/0!</v>
      </c>
      <c r="BP31" s="107" t="e">
        <f t="shared" si="3"/>
        <v>#DIV/0!</v>
      </c>
    </row>
    <row r="32" spans="1:68" s="189" customFormat="1" ht="51">
      <c r="A32" s="185" t="s">
        <v>796</v>
      </c>
      <c r="B32" s="184">
        <v>30</v>
      </c>
      <c r="C32" s="184" t="s">
        <v>1116</v>
      </c>
      <c r="D32" s="184" t="s">
        <v>779</v>
      </c>
      <c r="E32" s="186">
        <v>3500</v>
      </c>
      <c r="F32" s="186">
        <v>0</v>
      </c>
      <c r="G32" s="186">
        <f t="shared" si="0"/>
        <v>3500</v>
      </c>
      <c r="H32" s="231">
        <f t="shared" si="1"/>
        <v>1</v>
      </c>
      <c r="I32" s="188" t="s">
        <v>865</v>
      </c>
      <c r="J32" s="189" t="s">
        <v>1119</v>
      </c>
      <c r="K32" s="189" t="s">
        <v>839</v>
      </c>
      <c r="N32" s="189">
        <v>2</v>
      </c>
      <c r="O32" s="190">
        <v>5</v>
      </c>
      <c r="P32" s="190">
        <v>0.5</v>
      </c>
      <c r="R32" s="191"/>
      <c r="S32" s="192"/>
      <c r="T32" s="193" t="s">
        <v>428</v>
      </c>
      <c r="U32" s="194"/>
      <c r="V32" s="195"/>
      <c r="W32" s="196">
        <v>0</v>
      </c>
      <c r="X32" s="111">
        <f>'fert +pest rates'!D32</f>
        <v>194</v>
      </c>
      <c r="Y32" s="5">
        <f>'fert +pest rates'!I32</f>
        <v>258</v>
      </c>
      <c r="Z32" s="166">
        <f>'fert +pest rates'!N32</f>
        <v>0</v>
      </c>
      <c r="AA32" s="166">
        <f>'fert +pest rates'!O32</f>
        <v>0</v>
      </c>
      <c r="AB32" s="5">
        <f t="shared" si="10"/>
        <v>0</v>
      </c>
      <c r="AC32" s="5">
        <f t="shared" si="11"/>
        <v>0</v>
      </c>
      <c r="AD32" s="197">
        <v>2500</v>
      </c>
      <c r="AE32" s="428">
        <f>'fert +pest rates'!Q32</f>
        <v>0</v>
      </c>
      <c r="AF32" s="197"/>
      <c r="AG32" s="197"/>
      <c r="AH32" s="197"/>
      <c r="AI32" s="197"/>
      <c r="AJ32" s="197"/>
      <c r="AK32" s="415">
        <f>'fert +pest rates'!S32</f>
        <v>0</v>
      </c>
      <c r="AL32" s="197"/>
      <c r="AM32" s="197"/>
      <c r="AN32" s="197"/>
      <c r="AO32" s="419"/>
      <c r="AP32" s="197"/>
      <c r="AQ32" s="197"/>
      <c r="AR32" s="197"/>
      <c r="AS32" s="197"/>
      <c r="AT32" s="197">
        <v>0.15</v>
      </c>
      <c r="AU32" s="108"/>
      <c r="AV32" s="197"/>
      <c r="AW32" s="197"/>
      <c r="AX32" s="197">
        <v>0.3</v>
      </c>
      <c r="AZ32" s="188" t="s">
        <v>865</v>
      </c>
      <c r="BA32" s="193" t="s">
        <v>664</v>
      </c>
      <c r="BB32" s="188" t="s">
        <v>443</v>
      </c>
      <c r="BC32" s="540">
        <v>0.0008</v>
      </c>
      <c r="BD32" s="540">
        <v>0.0004</v>
      </c>
      <c r="BE32" s="541">
        <f t="shared" si="4"/>
        <v>0.0004</v>
      </c>
      <c r="BJ32" s="72">
        <f t="shared" si="5"/>
        <v>0</v>
      </c>
      <c r="BK32" s="72" t="e">
        <f t="shared" si="6"/>
        <v>#DIV/0!</v>
      </c>
      <c r="BL32" s="107" t="e">
        <f t="shared" si="2"/>
        <v>#DIV/0!</v>
      </c>
      <c r="BM32" s="579">
        <f t="shared" si="7"/>
        <v>0</v>
      </c>
      <c r="BN32" s="72">
        <f t="shared" si="8"/>
        <v>0</v>
      </c>
      <c r="BO32" s="72" t="e">
        <f t="shared" si="9"/>
        <v>#DIV/0!</v>
      </c>
      <c r="BP32" s="107" t="e">
        <f t="shared" si="3"/>
        <v>#DIV/0!</v>
      </c>
    </row>
    <row r="33" spans="1:68" s="189" customFormat="1" ht="89.25">
      <c r="A33" s="185" t="s">
        <v>797</v>
      </c>
      <c r="B33" s="184">
        <v>31</v>
      </c>
      <c r="C33" s="184" t="s">
        <v>1116</v>
      </c>
      <c r="D33" s="184" t="s">
        <v>779</v>
      </c>
      <c r="E33" s="186">
        <v>5500</v>
      </c>
      <c r="F33" s="186">
        <v>0</v>
      </c>
      <c r="G33" s="186">
        <f t="shared" si="0"/>
        <v>5500</v>
      </c>
      <c r="H33" s="231">
        <f t="shared" si="1"/>
        <v>1</v>
      </c>
      <c r="I33" s="188" t="s">
        <v>866</v>
      </c>
      <c r="J33" s="189" t="s">
        <v>1119</v>
      </c>
      <c r="K33" s="189" t="s">
        <v>839</v>
      </c>
      <c r="N33" s="189">
        <v>2</v>
      </c>
      <c r="O33" s="190">
        <v>5</v>
      </c>
      <c r="P33" s="190">
        <v>0.5</v>
      </c>
      <c r="R33" s="191"/>
      <c r="S33" s="192" t="s">
        <v>684</v>
      </c>
      <c r="T33" s="193" t="s">
        <v>428</v>
      </c>
      <c r="U33" s="194" t="s">
        <v>500</v>
      </c>
      <c r="V33" s="195">
        <v>75</v>
      </c>
      <c r="W33" s="196">
        <v>3.75</v>
      </c>
      <c r="X33" s="111">
        <f>'fert +pest rates'!D33</f>
        <v>194</v>
      </c>
      <c r="Y33" s="5">
        <f>'fert +pest rates'!I33</f>
        <v>258</v>
      </c>
      <c r="Z33" s="166">
        <f>'fert +pest rates'!N33</f>
        <v>0</v>
      </c>
      <c r="AA33" s="166">
        <f>'fert +pest rates'!O33</f>
        <v>0</v>
      </c>
      <c r="AB33" s="5">
        <f t="shared" si="10"/>
        <v>0</v>
      </c>
      <c r="AC33" s="5">
        <f t="shared" si="11"/>
        <v>0</v>
      </c>
      <c r="AD33" s="197">
        <v>2500</v>
      </c>
      <c r="AE33" s="428">
        <f>'fert +pest rates'!Q33</f>
        <v>0</v>
      </c>
      <c r="AF33" s="197"/>
      <c r="AG33" s="197"/>
      <c r="AH33" s="197"/>
      <c r="AI33" s="197"/>
      <c r="AJ33" s="197"/>
      <c r="AK33" s="415">
        <f>'fert +pest rates'!S33</f>
        <v>0</v>
      </c>
      <c r="AL33" s="197"/>
      <c r="AM33" s="197"/>
      <c r="AN33" s="197"/>
      <c r="AO33" s="419"/>
      <c r="AP33" s="197"/>
      <c r="AQ33" s="197"/>
      <c r="AR33" s="197"/>
      <c r="AS33" s="197"/>
      <c r="AT33" s="197">
        <v>0.15</v>
      </c>
      <c r="AU33" s="108"/>
      <c r="AV33" s="197"/>
      <c r="AW33" s="197"/>
      <c r="AX33" s="197">
        <v>0.3</v>
      </c>
      <c r="AZ33" s="188" t="s">
        <v>866</v>
      </c>
      <c r="BA33" s="193" t="s">
        <v>664</v>
      </c>
      <c r="BB33" s="188" t="s">
        <v>443</v>
      </c>
      <c r="BC33" s="540">
        <v>0.0008</v>
      </c>
      <c r="BD33" s="540">
        <v>0.0004</v>
      </c>
      <c r="BE33" s="541">
        <f t="shared" si="4"/>
        <v>0.0004</v>
      </c>
      <c r="BG33" s="189" t="s">
        <v>684</v>
      </c>
      <c r="BJ33" s="72">
        <f t="shared" si="5"/>
        <v>0</v>
      </c>
      <c r="BK33" s="72" t="e">
        <f t="shared" si="6"/>
        <v>#VALUE!</v>
      </c>
      <c r="BL33" s="107" t="e">
        <f t="shared" si="2"/>
        <v>#VALUE!</v>
      </c>
      <c r="BM33" s="579" t="str">
        <f t="shared" si="7"/>
        <v> </v>
      </c>
      <c r="BN33" s="72">
        <f t="shared" si="8"/>
        <v>0</v>
      </c>
      <c r="BO33" s="72" t="e">
        <f t="shared" si="9"/>
        <v>#VALUE!</v>
      </c>
      <c r="BP33" s="107" t="e">
        <f t="shared" si="3"/>
        <v>#VALUE!</v>
      </c>
    </row>
    <row r="34" spans="1:69" s="5" customFormat="1" ht="25.5">
      <c r="A34" s="164">
        <v>40</v>
      </c>
      <c r="B34" s="163">
        <v>32</v>
      </c>
      <c r="C34" s="163" t="s">
        <v>1116</v>
      </c>
      <c r="D34" s="163" t="s">
        <v>779</v>
      </c>
      <c r="E34" s="165">
        <v>6000</v>
      </c>
      <c r="F34" s="165">
        <v>0</v>
      </c>
      <c r="G34" s="165">
        <f t="shared" si="0"/>
        <v>6000</v>
      </c>
      <c r="H34" s="172">
        <f t="shared" si="1"/>
        <v>1</v>
      </c>
      <c r="I34" s="166" t="s">
        <v>856</v>
      </c>
      <c r="J34" s="5" t="s">
        <v>1119</v>
      </c>
      <c r="N34" s="5">
        <v>3</v>
      </c>
      <c r="O34" s="167">
        <v>5</v>
      </c>
      <c r="P34" s="167">
        <v>0</v>
      </c>
      <c r="R34" s="111">
        <v>153</v>
      </c>
      <c r="S34" s="78">
        <v>48</v>
      </c>
      <c r="T34" s="166" t="s">
        <v>856</v>
      </c>
      <c r="U34" s="175" t="s">
        <v>501</v>
      </c>
      <c r="V34" s="176">
        <v>50</v>
      </c>
      <c r="W34" s="170">
        <v>2.5</v>
      </c>
      <c r="X34" s="111">
        <f>'fert +pest rates'!D34</f>
        <v>202.5</v>
      </c>
      <c r="Y34" s="5">
        <f>'fert +pest rates'!I34</f>
        <v>224</v>
      </c>
      <c r="Z34" s="166">
        <f>'fert +pest rates'!N34</f>
        <v>0</v>
      </c>
      <c r="AA34" s="166">
        <f>'fert +pest rates'!O34</f>
        <v>0</v>
      </c>
      <c r="AB34" s="5">
        <f t="shared" si="10"/>
        <v>0</v>
      </c>
      <c r="AC34" s="5">
        <f t="shared" si="11"/>
        <v>0</v>
      </c>
      <c r="AD34" s="108">
        <v>153</v>
      </c>
      <c r="AE34" s="428">
        <f>'fert +pest rates'!Q34</f>
        <v>0</v>
      </c>
      <c r="AF34" s="108"/>
      <c r="AG34" s="108"/>
      <c r="AH34" s="108"/>
      <c r="AI34" s="108"/>
      <c r="AJ34" s="108"/>
      <c r="AK34" s="415">
        <f>'fert +pest rates'!S34</f>
        <v>0</v>
      </c>
      <c r="AL34" s="108"/>
      <c r="AM34" s="108"/>
      <c r="AN34" s="108"/>
      <c r="AO34" s="417"/>
      <c r="AP34" s="108"/>
      <c r="AQ34" s="108"/>
      <c r="AR34" s="108"/>
      <c r="AS34" s="108"/>
      <c r="AT34" s="108">
        <v>0.15</v>
      </c>
      <c r="AU34" s="108"/>
      <c r="AV34" s="108"/>
      <c r="AW34" s="108"/>
      <c r="AX34" s="108">
        <v>0.3</v>
      </c>
      <c r="AZ34" s="166" t="s">
        <v>856</v>
      </c>
      <c r="BA34" s="166" t="s">
        <v>182</v>
      </c>
      <c r="BB34" s="166"/>
      <c r="BD34" s="541">
        <f>BQ34</f>
        <v>0.2197224577336221</v>
      </c>
      <c r="BE34" s="541">
        <f t="shared" si="4"/>
        <v>0.2197224577336221</v>
      </c>
      <c r="BG34" s="5">
        <v>16</v>
      </c>
      <c r="BH34" s="5">
        <v>153</v>
      </c>
      <c r="BI34" s="5">
        <v>48</v>
      </c>
      <c r="BJ34" s="72">
        <f t="shared" si="5"/>
        <v>22.95</v>
      </c>
      <c r="BK34" s="72">
        <f t="shared" si="6"/>
        <v>69.71677559912854</v>
      </c>
      <c r="BL34" s="107">
        <f t="shared" si="2"/>
        <v>0.42444409717213183</v>
      </c>
      <c r="BM34" s="579">
        <f t="shared" si="7"/>
        <v>48</v>
      </c>
      <c r="BN34" s="72">
        <f t="shared" si="8"/>
        <v>22.95</v>
      </c>
      <c r="BO34" s="72">
        <f t="shared" si="9"/>
        <v>209.15032679738565</v>
      </c>
      <c r="BP34" s="107">
        <f t="shared" si="3"/>
        <v>0.5343053260389429</v>
      </c>
      <c r="BQ34" s="40">
        <f>(BP34-BL34)*2</f>
        <v>0.2197224577336221</v>
      </c>
    </row>
    <row r="35" spans="1:68" s="5" customFormat="1" ht="38.25">
      <c r="A35" s="164">
        <v>41</v>
      </c>
      <c r="B35" s="163">
        <v>33</v>
      </c>
      <c r="C35" s="163" t="s">
        <v>1116</v>
      </c>
      <c r="D35" s="163" t="s">
        <v>779</v>
      </c>
      <c r="E35" s="165">
        <v>213500</v>
      </c>
      <c r="F35" s="165">
        <v>125000</v>
      </c>
      <c r="G35" s="165">
        <f t="shared" si="0"/>
        <v>88500</v>
      </c>
      <c r="H35" s="172">
        <f t="shared" si="1"/>
        <v>0.41451990632318503</v>
      </c>
      <c r="I35" s="166" t="s">
        <v>823</v>
      </c>
      <c r="J35" s="5" t="s">
        <v>1119</v>
      </c>
      <c r="N35" s="5">
        <v>3</v>
      </c>
      <c r="O35" s="167">
        <v>5</v>
      </c>
      <c r="P35" s="167">
        <v>0</v>
      </c>
      <c r="R35" s="111">
        <v>370</v>
      </c>
      <c r="S35" s="78">
        <v>20</v>
      </c>
      <c r="T35" s="168"/>
      <c r="U35" s="175"/>
      <c r="V35" s="176"/>
      <c r="W35" s="170">
        <v>0</v>
      </c>
      <c r="X35" s="111">
        <f>'fert +pest rates'!D35</f>
        <v>84.375</v>
      </c>
      <c r="Y35" s="5">
        <f>'fert +pest rates'!I35</f>
        <v>245</v>
      </c>
      <c r="Z35" s="236" t="str">
        <f>'fert +pest rates'!N35</f>
        <v>soil and water test to determine new rates</v>
      </c>
      <c r="AA35" s="236">
        <f>'fert +pest rates'!O35</f>
        <v>0</v>
      </c>
      <c r="AB35" s="76" t="str">
        <f t="shared" si="10"/>
        <v>soil and water test to determine new rates</v>
      </c>
      <c r="AC35" s="5">
        <f t="shared" si="11"/>
        <v>0</v>
      </c>
      <c r="AD35" s="108">
        <v>80</v>
      </c>
      <c r="AE35" s="431" t="str">
        <f>'fert +pest rates'!Q35</f>
        <v>Atrazine 2.5kg plant; 1.5kg ratoon</v>
      </c>
      <c r="AF35" s="108">
        <v>1.8</v>
      </c>
      <c r="AG35" s="108"/>
      <c r="AH35" s="108"/>
      <c r="AI35" s="108"/>
      <c r="AJ35" s="108"/>
      <c r="AK35" s="415">
        <f>'fert +pest rates'!S35</f>
        <v>0</v>
      </c>
      <c r="AL35" s="108"/>
      <c r="AM35" s="108"/>
      <c r="AN35" s="108"/>
      <c r="AO35" s="417"/>
      <c r="AP35" s="108"/>
      <c r="AQ35" s="108"/>
      <c r="AR35" s="108"/>
      <c r="AS35" s="108"/>
      <c r="AT35" s="108">
        <v>0.15</v>
      </c>
      <c r="AU35" s="108"/>
      <c r="AV35" s="108"/>
      <c r="AW35" s="108"/>
      <c r="AX35" s="108">
        <v>0.3</v>
      </c>
      <c r="AZ35" s="166" t="s">
        <v>823</v>
      </c>
      <c r="BA35" s="168" t="s">
        <v>181</v>
      </c>
      <c r="BB35" s="166"/>
      <c r="BD35" s="541">
        <f>'Recycle pits'!AP31</f>
        <v>0.2147700118656158</v>
      </c>
      <c r="BE35" s="541">
        <f t="shared" si="4"/>
        <v>0.2147700118656158</v>
      </c>
      <c r="BH35" s="5">
        <v>370</v>
      </c>
      <c r="BI35" s="5">
        <v>20</v>
      </c>
      <c r="BJ35" s="72">
        <f t="shared" si="5"/>
        <v>55.5</v>
      </c>
      <c r="BK35" s="72">
        <f t="shared" si="6"/>
        <v>0</v>
      </c>
      <c r="BL35" s="107" t="e">
        <f t="shared" si="2"/>
        <v>#NUM!</v>
      </c>
      <c r="BM35" s="579">
        <f t="shared" si="7"/>
        <v>20</v>
      </c>
      <c r="BN35" s="72">
        <f t="shared" si="8"/>
        <v>55.5</v>
      </c>
      <c r="BO35" s="72">
        <f t="shared" si="9"/>
        <v>36.03603603603604</v>
      </c>
      <c r="BP35" s="107">
        <f t="shared" si="3"/>
        <v>0.3584519438789694</v>
      </c>
    </row>
    <row r="36" spans="1:68" s="5" customFormat="1" ht="51">
      <c r="A36" s="164" t="s">
        <v>798</v>
      </c>
      <c r="B36" s="163">
        <v>34</v>
      </c>
      <c r="C36" s="163" t="s">
        <v>1116</v>
      </c>
      <c r="D36" s="163" t="s">
        <v>778</v>
      </c>
      <c r="E36" s="165">
        <v>60000</v>
      </c>
      <c r="F36" s="165">
        <v>15000</v>
      </c>
      <c r="G36" s="165">
        <f t="shared" si="0"/>
        <v>45000</v>
      </c>
      <c r="H36" s="110">
        <f t="shared" si="1"/>
        <v>0.75</v>
      </c>
      <c r="I36" s="166" t="s">
        <v>823</v>
      </c>
      <c r="J36" s="5" t="s">
        <v>1119</v>
      </c>
      <c r="O36" s="167">
        <v>5</v>
      </c>
      <c r="P36" s="167">
        <v>0</v>
      </c>
      <c r="R36" s="111">
        <v>20</v>
      </c>
      <c r="S36" s="78">
        <v>30</v>
      </c>
      <c r="T36" s="168"/>
      <c r="U36" s="175" t="s">
        <v>502</v>
      </c>
      <c r="V36" s="176">
        <v>50</v>
      </c>
      <c r="W36" s="170">
        <v>2.5</v>
      </c>
      <c r="X36" s="111">
        <f>'fert +pest rates'!D36</f>
        <v>151.411</v>
      </c>
      <c r="Y36" s="5">
        <f>'fert +pest rates'!I36</f>
        <v>265.278</v>
      </c>
      <c r="Z36" s="166">
        <f>'fert +pest rates'!N36</f>
        <v>0</v>
      </c>
      <c r="AA36" s="166">
        <f>'fert +pest rates'!O36</f>
        <v>0</v>
      </c>
      <c r="AB36" s="5">
        <f t="shared" si="10"/>
        <v>0</v>
      </c>
      <c r="AC36" s="5">
        <f t="shared" si="11"/>
        <v>0</v>
      </c>
      <c r="AD36" s="108">
        <v>75</v>
      </c>
      <c r="AE36" s="428" t="str">
        <f>'fert +pest rates'!Q36</f>
        <v>Atrazine 2kg/ha;  Diuron .5kg/ha;                   2-4-D 1L/ha</v>
      </c>
      <c r="AF36" s="108">
        <v>2</v>
      </c>
      <c r="AG36" s="108">
        <v>0.5</v>
      </c>
      <c r="AH36" s="108">
        <v>1</v>
      </c>
      <c r="AI36" s="108"/>
      <c r="AJ36" s="108"/>
      <c r="AK36" s="415">
        <f>'fert +pest rates'!S36</f>
        <v>0</v>
      </c>
      <c r="AL36" s="108"/>
      <c r="AM36" s="108"/>
      <c r="AN36" s="108"/>
      <c r="AO36" s="417"/>
      <c r="AP36" s="108"/>
      <c r="AQ36" s="108"/>
      <c r="AR36" s="108"/>
      <c r="AS36" s="108"/>
      <c r="AT36" s="108">
        <v>0.15</v>
      </c>
      <c r="AU36" s="108"/>
      <c r="AV36" s="108"/>
      <c r="AW36" s="108"/>
      <c r="AX36" s="108">
        <v>0.3</v>
      </c>
      <c r="AZ36" s="166" t="s">
        <v>823</v>
      </c>
      <c r="BA36" s="168" t="s">
        <v>181</v>
      </c>
      <c r="BB36" s="166"/>
      <c r="BD36" s="541">
        <f>'Recycle pits'!AP32</f>
        <v>0.8</v>
      </c>
      <c r="BE36" s="541">
        <f t="shared" si="4"/>
        <v>0.8</v>
      </c>
      <c r="BH36" s="5">
        <v>20</v>
      </c>
      <c r="BI36" s="5">
        <v>30</v>
      </c>
      <c r="BJ36" s="72">
        <f t="shared" si="5"/>
        <v>3</v>
      </c>
      <c r="BK36" s="72">
        <f t="shared" si="6"/>
        <v>0</v>
      </c>
      <c r="BL36" s="107" t="e">
        <f t="shared" si="2"/>
        <v>#NUM!</v>
      </c>
      <c r="BM36" s="579">
        <f t="shared" si="7"/>
        <v>30</v>
      </c>
      <c r="BN36" s="72">
        <f t="shared" si="8"/>
        <v>3</v>
      </c>
      <c r="BO36" s="72">
        <f t="shared" si="9"/>
        <v>1000</v>
      </c>
      <c r="BP36" s="107">
        <f t="shared" si="3"/>
        <v>0.8</v>
      </c>
    </row>
    <row r="37" spans="1:68" s="326" customFormat="1" ht="12.75">
      <c r="A37" s="490" t="s">
        <v>799</v>
      </c>
      <c r="B37" s="491" t="s">
        <v>386</v>
      </c>
      <c r="C37" s="491" t="s">
        <v>1116</v>
      </c>
      <c r="D37" s="491" t="s">
        <v>385</v>
      </c>
      <c r="E37" s="492"/>
      <c r="F37" s="492"/>
      <c r="G37" s="492"/>
      <c r="H37" s="493"/>
      <c r="I37" s="414"/>
      <c r="O37" s="327"/>
      <c r="P37" s="327"/>
      <c r="R37" s="494"/>
      <c r="S37" s="495"/>
      <c r="T37" s="496"/>
      <c r="U37" s="497"/>
      <c r="V37" s="498"/>
      <c r="W37" s="499"/>
      <c r="X37" s="494"/>
      <c r="Z37" s="414"/>
      <c r="AA37" s="414"/>
      <c r="AD37" s="500"/>
      <c r="AE37" s="501"/>
      <c r="AF37" s="500"/>
      <c r="AG37" s="500"/>
      <c r="AH37" s="500"/>
      <c r="AI37" s="500"/>
      <c r="AJ37" s="500"/>
      <c r="AK37" s="424"/>
      <c r="AL37" s="500"/>
      <c r="AM37" s="500"/>
      <c r="AN37" s="500"/>
      <c r="AO37" s="502"/>
      <c r="AP37" s="500"/>
      <c r="AQ37" s="500"/>
      <c r="AR37" s="500"/>
      <c r="AS37" s="500"/>
      <c r="AT37" s="500"/>
      <c r="AU37" s="500"/>
      <c r="AV37" s="500"/>
      <c r="AW37" s="500"/>
      <c r="AX37" s="500"/>
      <c r="AZ37" s="414"/>
      <c r="BA37" s="496"/>
      <c r="BB37" s="414"/>
      <c r="BD37" s="545"/>
      <c r="BE37" s="541">
        <f t="shared" si="4"/>
        <v>0</v>
      </c>
      <c r="BJ37" s="72">
        <f t="shared" si="5"/>
        <v>0</v>
      </c>
      <c r="BK37" s="72" t="e">
        <f t="shared" si="6"/>
        <v>#DIV/0!</v>
      </c>
      <c r="BL37" s="107" t="e">
        <f t="shared" si="2"/>
        <v>#DIV/0!</v>
      </c>
      <c r="BM37" s="579">
        <f t="shared" si="7"/>
        <v>0</v>
      </c>
      <c r="BN37" s="72">
        <f t="shared" si="8"/>
        <v>0</v>
      </c>
      <c r="BO37" s="72" t="e">
        <f t="shared" si="9"/>
        <v>#DIV/0!</v>
      </c>
      <c r="BP37" s="107" t="e">
        <f t="shared" si="3"/>
        <v>#DIV/0!</v>
      </c>
    </row>
    <row r="38" spans="1:69" s="5" customFormat="1" ht="63.75">
      <c r="A38" s="164">
        <v>44</v>
      </c>
      <c r="B38" s="163">
        <v>36</v>
      </c>
      <c r="C38" s="163" t="s">
        <v>1116</v>
      </c>
      <c r="D38" s="163" t="s">
        <v>778</v>
      </c>
      <c r="E38" s="165">
        <v>40000</v>
      </c>
      <c r="F38" s="165">
        <v>20000</v>
      </c>
      <c r="G38" s="165">
        <f t="shared" si="0"/>
        <v>20000</v>
      </c>
      <c r="H38" s="110">
        <f t="shared" si="1"/>
        <v>0.5</v>
      </c>
      <c r="I38" s="166" t="s">
        <v>857</v>
      </c>
      <c r="J38" s="5" t="s">
        <v>1119</v>
      </c>
      <c r="N38" s="5">
        <v>5</v>
      </c>
      <c r="O38" s="167">
        <v>7</v>
      </c>
      <c r="P38" s="167">
        <v>0.5</v>
      </c>
      <c r="R38" s="111">
        <v>350</v>
      </c>
      <c r="S38" s="78">
        <v>20</v>
      </c>
      <c r="T38" s="166" t="s">
        <v>857</v>
      </c>
      <c r="U38" s="175" t="s">
        <v>503</v>
      </c>
      <c r="V38" s="176">
        <v>25</v>
      </c>
      <c r="W38" s="170">
        <v>1.25</v>
      </c>
      <c r="X38" s="111">
        <f>'fert +pest rates'!D38</f>
        <v>105.6</v>
      </c>
      <c r="Y38" s="5">
        <f>'fert +pest rates'!I38</f>
        <v>205.8</v>
      </c>
      <c r="Z38" s="166">
        <f>'fert +pest rates'!N38</f>
        <v>0</v>
      </c>
      <c r="AA38" s="166">
        <f>'fert +pest rates'!O38</f>
        <v>0</v>
      </c>
      <c r="AB38" s="5">
        <f>0.95*X38</f>
        <v>100.32</v>
      </c>
      <c r="AC38" s="5">
        <f>0.95*Y38</f>
        <v>195.51</v>
      </c>
      <c r="AD38" s="108">
        <v>170</v>
      </c>
      <c r="AE38" s="428" t="str">
        <f>'fert +pest rates'!Q38</f>
        <v>1.2 Kg/ha Atrazine, 4 kg/ha Diuron, 1.2L/ha 24D</v>
      </c>
      <c r="AF38" s="108">
        <v>1.2</v>
      </c>
      <c r="AG38" s="108">
        <v>4</v>
      </c>
      <c r="AH38" s="108">
        <v>1.2</v>
      </c>
      <c r="AI38" s="108"/>
      <c r="AJ38" s="108"/>
      <c r="AK38" s="415">
        <f>'fert +pest rates'!S38</f>
        <v>0</v>
      </c>
      <c r="AL38" s="108"/>
      <c r="AM38" s="108"/>
      <c r="AN38" s="108"/>
      <c r="AO38" s="417"/>
      <c r="AP38" s="108"/>
      <c r="AQ38" s="108"/>
      <c r="AR38" s="108"/>
      <c r="AS38" s="108"/>
      <c r="AT38" s="108">
        <v>0.15</v>
      </c>
      <c r="AU38" s="108"/>
      <c r="AV38" s="108"/>
      <c r="AW38" s="108"/>
      <c r="AX38" s="108">
        <v>0.3</v>
      </c>
      <c r="AZ38" s="166" t="s">
        <v>857</v>
      </c>
      <c r="BA38" s="166" t="s">
        <v>182</v>
      </c>
      <c r="BB38" s="166"/>
      <c r="BD38" s="541">
        <f>BQ38</f>
        <v>0.13862943611198897</v>
      </c>
      <c r="BE38" s="541">
        <f t="shared" si="4"/>
        <v>0.13862943611198897</v>
      </c>
      <c r="BG38" s="5">
        <v>10</v>
      </c>
      <c r="BH38" s="5">
        <v>350</v>
      </c>
      <c r="BI38" s="78">
        <f>S38</f>
        <v>20</v>
      </c>
      <c r="BJ38" s="72">
        <f t="shared" si="5"/>
        <v>52.5</v>
      </c>
      <c r="BK38" s="72">
        <f t="shared" si="6"/>
        <v>19.047619047619047</v>
      </c>
      <c r="BL38" s="107">
        <f t="shared" si="2"/>
        <v>0.29469421093845594</v>
      </c>
      <c r="BM38" s="579">
        <f t="shared" si="7"/>
        <v>20</v>
      </c>
      <c r="BN38" s="72">
        <f t="shared" si="8"/>
        <v>52.5</v>
      </c>
      <c r="BO38" s="72">
        <f t="shared" si="9"/>
        <v>38.095238095238095</v>
      </c>
      <c r="BP38" s="107">
        <f t="shared" si="3"/>
        <v>0.3640089289944504</v>
      </c>
      <c r="BQ38" s="40">
        <f>(BP38-BL38)*2</f>
        <v>0.13862943611198897</v>
      </c>
    </row>
    <row r="39" spans="1:68" s="5" customFormat="1" ht="63.75">
      <c r="A39" s="164">
        <v>45</v>
      </c>
      <c r="B39" s="163">
        <v>37</v>
      </c>
      <c r="C39" s="163" t="s">
        <v>1116</v>
      </c>
      <c r="D39" s="163" t="s">
        <v>779</v>
      </c>
      <c r="E39" s="165">
        <v>94900</v>
      </c>
      <c r="F39" s="165">
        <v>50000</v>
      </c>
      <c r="G39" s="165">
        <f t="shared" si="0"/>
        <v>44900</v>
      </c>
      <c r="H39" s="110">
        <f t="shared" si="1"/>
        <v>0.4731296101159115</v>
      </c>
      <c r="I39" s="166" t="s">
        <v>823</v>
      </c>
      <c r="J39" s="5" t="s">
        <v>1119</v>
      </c>
      <c r="N39" s="5">
        <v>2</v>
      </c>
      <c r="O39" s="167">
        <v>5</v>
      </c>
      <c r="P39" s="167">
        <v>1</v>
      </c>
      <c r="R39" s="111">
        <v>125</v>
      </c>
      <c r="S39" s="78">
        <v>22</v>
      </c>
      <c r="T39" s="168"/>
      <c r="U39" s="175" t="s">
        <v>503</v>
      </c>
      <c r="V39" s="176">
        <v>25</v>
      </c>
      <c r="W39" s="170">
        <v>1.25</v>
      </c>
      <c r="X39" s="111">
        <f>'fert +pest rates'!D39</f>
        <v>106</v>
      </c>
      <c r="Y39" s="5">
        <f>'fert +pest rates'!I39</f>
        <v>206</v>
      </c>
      <c r="Z39" s="166">
        <f>'fert +pest rates'!N39</f>
        <v>0</v>
      </c>
      <c r="AA39" s="166">
        <f>'fert +pest rates'!O39</f>
        <v>0</v>
      </c>
      <c r="AB39" s="5">
        <f>0.95*X39</f>
        <v>100.69999999999999</v>
      </c>
      <c r="AC39" s="5">
        <f>0.95*Y39</f>
        <v>195.7</v>
      </c>
      <c r="AD39" s="108">
        <v>125</v>
      </c>
      <c r="AE39" s="428" t="str">
        <f>'fert +pest rates'!Q39</f>
        <v>1.2 Kg/ha Atrazine, 4 kg/ha Diuron, 1.2L/ha 24D</v>
      </c>
      <c r="AF39" s="108">
        <v>1.2</v>
      </c>
      <c r="AG39" s="108">
        <v>4</v>
      </c>
      <c r="AH39" s="108">
        <v>1.2</v>
      </c>
      <c r="AI39" s="108"/>
      <c r="AJ39" s="108"/>
      <c r="AK39" s="415">
        <f>'fert +pest rates'!S39</f>
        <v>0</v>
      </c>
      <c r="AL39" s="108"/>
      <c r="AM39" s="108"/>
      <c r="AN39" s="108"/>
      <c r="AO39" s="417"/>
      <c r="AP39" s="108"/>
      <c r="AQ39" s="108"/>
      <c r="AR39" s="108"/>
      <c r="AS39" s="108"/>
      <c r="AT39" s="108">
        <v>0.15</v>
      </c>
      <c r="AU39" s="108"/>
      <c r="AV39" s="108"/>
      <c r="AW39" s="108"/>
      <c r="AX39" s="108">
        <v>0.3</v>
      </c>
      <c r="AZ39" s="166" t="s">
        <v>823</v>
      </c>
      <c r="BA39" s="168" t="s">
        <v>181</v>
      </c>
      <c r="BB39" s="166"/>
      <c r="BD39" s="541">
        <f>'Recycle pits'!AP34</f>
        <v>0.3875393792086683</v>
      </c>
      <c r="BE39" s="541">
        <f t="shared" si="4"/>
        <v>0.3875393792086683</v>
      </c>
      <c r="BH39" s="5">
        <v>125</v>
      </c>
      <c r="BI39" s="5">
        <v>22</v>
      </c>
      <c r="BJ39" s="72">
        <f t="shared" si="5"/>
        <v>18.75</v>
      </c>
      <c r="BK39" s="72">
        <f t="shared" si="6"/>
        <v>0</v>
      </c>
      <c r="BL39" s="107" t="e">
        <f t="shared" si="2"/>
        <v>#NUM!</v>
      </c>
      <c r="BM39" s="579">
        <f t="shared" si="7"/>
        <v>22</v>
      </c>
      <c r="BN39" s="72">
        <f t="shared" si="8"/>
        <v>18.75</v>
      </c>
      <c r="BO39" s="72">
        <f t="shared" si="9"/>
        <v>117.33333333333333</v>
      </c>
      <c r="BP39" s="107">
        <f t="shared" si="3"/>
        <v>0.47650188869299875</v>
      </c>
    </row>
    <row r="40" spans="1:68" s="76" customFormat="1" ht="25.5">
      <c r="A40" s="233">
        <v>46</v>
      </c>
      <c r="B40" s="232">
        <v>38</v>
      </c>
      <c r="C40" s="232" t="s">
        <v>1116</v>
      </c>
      <c r="D40" s="232" t="s">
        <v>780</v>
      </c>
      <c r="E40" s="234">
        <v>98000</v>
      </c>
      <c r="F40" s="234">
        <v>15000</v>
      </c>
      <c r="G40" s="234">
        <f t="shared" si="0"/>
        <v>83000</v>
      </c>
      <c r="H40" s="243">
        <f t="shared" si="1"/>
        <v>0.8469387755102041</v>
      </c>
      <c r="I40" s="236" t="s">
        <v>867</v>
      </c>
      <c r="J40" s="76" t="s">
        <v>1119</v>
      </c>
      <c r="N40" s="76">
        <v>3</v>
      </c>
      <c r="O40" s="237">
        <v>5</v>
      </c>
      <c r="P40" s="237">
        <v>0</v>
      </c>
      <c r="R40" s="77"/>
      <c r="S40" s="132"/>
      <c r="T40" s="238"/>
      <c r="U40" s="244" t="s">
        <v>504</v>
      </c>
      <c r="V40" s="241">
        <v>75</v>
      </c>
      <c r="W40" s="241">
        <v>3.75</v>
      </c>
      <c r="X40" s="111">
        <f>'fert +pest rates'!D40</f>
        <v>0</v>
      </c>
      <c r="Y40" s="5">
        <f>'fert +pest rates'!I40</f>
        <v>0</v>
      </c>
      <c r="Z40" s="166">
        <f>'fert +pest rates'!N40</f>
        <v>0</v>
      </c>
      <c r="AA40" s="166">
        <f>'fert +pest rates'!O40</f>
        <v>0</v>
      </c>
      <c r="AB40" s="5">
        <f t="shared" si="10"/>
        <v>0</v>
      </c>
      <c r="AC40" s="5">
        <f t="shared" si="11"/>
        <v>0</v>
      </c>
      <c r="AD40" s="242">
        <v>97</v>
      </c>
      <c r="AE40" s="428">
        <f>'fert +pest rates'!Q40</f>
        <v>0</v>
      </c>
      <c r="AF40" s="242"/>
      <c r="AG40" s="242"/>
      <c r="AH40" s="242"/>
      <c r="AI40" s="242"/>
      <c r="AJ40" s="242"/>
      <c r="AK40" s="415">
        <f>'fert +pest rates'!S40</f>
        <v>0</v>
      </c>
      <c r="AL40" s="242"/>
      <c r="AM40" s="242"/>
      <c r="AN40" s="242"/>
      <c r="AO40" s="422"/>
      <c r="AP40" s="242"/>
      <c r="AQ40" s="242"/>
      <c r="AR40" s="242"/>
      <c r="AS40" s="242"/>
      <c r="AT40" s="242">
        <v>0.15</v>
      </c>
      <c r="AU40" s="108"/>
      <c r="AV40" s="242"/>
      <c r="AW40" s="242"/>
      <c r="AX40" s="242">
        <v>0.3</v>
      </c>
      <c r="AZ40" s="236" t="s">
        <v>867</v>
      </c>
      <c r="BA40" s="238"/>
      <c r="BB40" s="236"/>
      <c r="BD40" s="546"/>
      <c r="BE40" s="541">
        <f t="shared" si="4"/>
        <v>0</v>
      </c>
      <c r="BJ40" s="72">
        <f t="shared" si="5"/>
        <v>0</v>
      </c>
      <c r="BK40" s="72" t="e">
        <f t="shared" si="6"/>
        <v>#DIV/0!</v>
      </c>
      <c r="BL40" s="107" t="e">
        <f t="shared" si="2"/>
        <v>#DIV/0!</v>
      </c>
      <c r="BM40" s="579">
        <f t="shared" si="7"/>
        <v>0</v>
      </c>
      <c r="BN40" s="72">
        <f t="shared" si="8"/>
        <v>0</v>
      </c>
      <c r="BO40" s="72" t="e">
        <f t="shared" si="9"/>
        <v>#DIV/0!</v>
      </c>
      <c r="BP40" s="107" t="e">
        <f t="shared" si="3"/>
        <v>#DIV/0!</v>
      </c>
    </row>
    <row r="41" spans="1:68" s="199" customFormat="1" ht="63.75">
      <c r="A41" s="202">
        <v>47</v>
      </c>
      <c r="B41" s="201">
        <v>39</v>
      </c>
      <c r="C41" s="201" t="s">
        <v>1116</v>
      </c>
      <c r="D41" s="201" t="s">
        <v>779</v>
      </c>
      <c r="E41" s="203">
        <v>17000</v>
      </c>
      <c r="F41" s="203">
        <v>10000</v>
      </c>
      <c r="G41" s="203">
        <f t="shared" si="0"/>
        <v>7000</v>
      </c>
      <c r="H41" s="245">
        <f t="shared" si="1"/>
        <v>0.4117647058823529</v>
      </c>
      <c r="I41" s="83" t="s">
        <v>824</v>
      </c>
      <c r="J41" s="199" t="s">
        <v>1119</v>
      </c>
      <c r="N41" s="199">
        <v>2</v>
      </c>
      <c r="O41" s="205">
        <v>5</v>
      </c>
      <c r="P41" s="205">
        <v>0.5</v>
      </c>
      <c r="R41" s="206"/>
      <c r="S41" s="207"/>
      <c r="T41" s="208" t="s">
        <v>505</v>
      </c>
      <c r="U41" s="209" t="s">
        <v>506</v>
      </c>
      <c r="V41" s="210">
        <v>75</v>
      </c>
      <c r="W41" s="211">
        <v>3.75</v>
      </c>
      <c r="X41" s="111">
        <f>'fert +pest rates'!D41</f>
        <v>216.588125</v>
      </c>
      <c r="Y41" s="5">
        <f>'fert +pest rates'!I41</f>
        <v>227.24</v>
      </c>
      <c r="Z41" s="236" t="str">
        <f>'fert +pest rates'!N41</f>
        <v>nil (after legumes)</v>
      </c>
      <c r="AA41" s="236" t="str">
        <f>'fert +pest rates'!O41</f>
        <v>reduced after legumes</v>
      </c>
      <c r="AB41" s="76" t="str">
        <f t="shared" si="10"/>
        <v>nil (after legumes)</v>
      </c>
      <c r="AC41" s="76">
        <f>Y41</f>
        <v>227.24</v>
      </c>
      <c r="AD41" s="212">
        <f>450/2.2</f>
        <v>204.54545454545453</v>
      </c>
      <c r="AE41" s="428" t="str">
        <f>'fert +pest rates'!Q41</f>
        <v>400g/ha Atrazine, 400g/ha Diuron, 600g/ha 2-4-D</v>
      </c>
      <c r="AF41" s="212">
        <v>0.4</v>
      </c>
      <c r="AG41" s="212">
        <v>0.4</v>
      </c>
      <c r="AH41" s="212">
        <v>0.6</v>
      </c>
      <c r="AI41" s="212"/>
      <c r="AJ41" s="212"/>
      <c r="AK41" s="415">
        <f>'fert +pest rates'!S41</f>
        <v>0</v>
      </c>
      <c r="AL41" s="212"/>
      <c r="AM41" s="212"/>
      <c r="AN41" s="212"/>
      <c r="AO41" s="418"/>
      <c r="AP41" s="212"/>
      <c r="AQ41" s="212"/>
      <c r="AR41" s="212"/>
      <c r="AS41" s="212"/>
      <c r="AT41" s="212">
        <v>0.15</v>
      </c>
      <c r="AU41" s="108"/>
      <c r="AV41" s="212"/>
      <c r="AW41" s="212"/>
      <c r="AX41" s="212">
        <v>0.3</v>
      </c>
      <c r="AZ41" s="83" t="s">
        <v>824</v>
      </c>
      <c r="BA41" s="208" t="s">
        <v>1050</v>
      </c>
      <c r="BB41" s="83"/>
      <c r="BD41" s="542">
        <v>0.15</v>
      </c>
      <c r="BE41" s="541">
        <f t="shared" si="4"/>
        <v>0.15</v>
      </c>
      <c r="BJ41" s="72">
        <f t="shared" si="5"/>
        <v>0</v>
      </c>
      <c r="BK41" s="72" t="e">
        <f t="shared" si="6"/>
        <v>#DIV/0!</v>
      </c>
      <c r="BL41" s="107" t="e">
        <f t="shared" si="2"/>
        <v>#DIV/0!</v>
      </c>
      <c r="BM41" s="579">
        <f t="shared" si="7"/>
        <v>0</v>
      </c>
      <c r="BN41" s="72">
        <f t="shared" si="8"/>
        <v>0</v>
      </c>
      <c r="BO41" s="72" t="e">
        <f t="shared" si="9"/>
        <v>#DIV/0!</v>
      </c>
      <c r="BP41" s="107" t="e">
        <f t="shared" si="3"/>
        <v>#DIV/0!</v>
      </c>
    </row>
    <row r="42" spans="1:68" s="76" customFormat="1" ht="25.5">
      <c r="A42" s="233">
        <v>49</v>
      </c>
      <c r="B42" s="232">
        <v>40</v>
      </c>
      <c r="C42" s="232" t="s">
        <v>1116</v>
      </c>
      <c r="D42" s="232" t="s">
        <v>780</v>
      </c>
      <c r="E42" s="234">
        <v>45815.05</v>
      </c>
      <c r="F42" s="234">
        <v>30474.4</v>
      </c>
      <c r="G42" s="234">
        <f t="shared" si="0"/>
        <v>15340.650000000001</v>
      </c>
      <c r="H42" s="235">
        <f t="shared" si="1"/>
        <v>0.33483866109498955</v>
      </c>
      <c r="I42" s="236" t="s">
        <v>507</v>
      </c>
      <c r="J42" s="76" t="s">
        <v>1119</v>
      </c>
      <c r="N42" s="76">
        <v>3</v>
      </c>
      <c r="O42" s="237">
        <v>5</v>
      </c>
      <c r="P42" s="237">
        <v>0</v>
      </c>
      <c r="R42" s="77"/>
      <c r="S42" s="132"/>
      <c r="T42" s="238"/>
      <c r="U42" s="239" t="s">
        <v>508</v>
      </c>
      <c r="V42" s="240">
        <v>75</v>
      </c>
      <c r="W42" s="241">
        <v>3.75</v>
      </c>
      <c r="X42" s="111">
        <f>'fert +pest rates'!D42</f>
        <v>0</v>
      </c>
      <c r="Y42" s="5">
        <f>'fert +pest rates'!I42</f>
        <v>0</v>
      </c>
      <c r="Z42" s="166">
        <f>'fert +pest rates'!N42</f>
        <v>0</v>
      </c>
      <c r="AA42" s="166">
        <f>'fert +pest rates'!O42</f>
        <v>0</v>
      </c>
      <c r="AB42" s="5">
        <f t="shared" si="10"/>
        <v>0</v>
      </c>
      <c r="AC42" s="5">
        <f t="shared" si="11"/>
        <v>0</v>
      </c>
      <c r="AD42" s="242">
        <v>7689</v>
      </c>
      <c r="AE42" s="428">
        <f>'fert +pest rates'!Q42</f>
        <v>0</v>
      </c>
      <c r="AF42" s="242"/>
      <c r="AG42" s="242"/>
      <c r="AH42" s="242"/>
      <c r="AI42" s="242"/>
      <c r="AJ42" s="242"/>
      <c r="AK42" s="415">
        <f>'fert +pest rates'!S42</f>
        <v>0</v>
      </c>
      <c r="AL42" s="242"/>
      <c r="AM42" s="242"/>
      <c r="AN42" s="242"/>
      <c r="AO42" s="422"/>
      <c r="AP42" s="242"/>
      <c r="AQ42" s="242"/>
      <c r="AR42" s="242"/>
      <c r="AS42" s="242"/>
      <c r="AT42" s="242">
        <v>0.15</v>
      </c>
      <c r="AU42" s="108"/>
      <c r="AV42" s="242"/>
      <c r="AW42" s="242"/>
      <c r="AX42" s="242">
        <v>0.3</v>
      </c>
      <c r="AZ42" s="236" t="s">
        <v>507</v>
      </c>
      <c r="BA42" s="238"/>
      <c r="BB42" s="236"/>
      <c r="BD42" s="546"/>
      <c r="BE42" s="541">
        <f t="shared" si="4"/>
        <v>0</v>
      </c>
      <c r="BJ42" s="72">
        <f t="shared" si="5"/>
        <v>0</v>
      </c>
      <c r="BK42" s="72" t="e">
        <f t="shared" si="6"/>
        <v>#DIV/0!</v>
      </c>
      <c r="BL42" s="107" t="e">
        <f t="shared" si="2"/>
        <v>#DIV/0!</v>
      </c>
      <c r="BM42" s="579">
        <f t="shared" si="7"/>
        <v>0</v>
      </c>
      <c r="BN42" s="72">
        <f t="shared" si="8"/>
        <v>0</v>
      </c>
      <c r="BO42" s="72" t="e">
        <f t="shared" si="9"/>
        <v>#DIV/0!</v>
      </c>
      <c r="BP42" s="107" t="e">
        <f t="shared" si="3"/>
        <v>#DIV/0!</v>
      </c>
    </row>
    <row r="43" spans="1:68" s="5" customFormat="1" ht="51">
      <c r="A43" s="164">
        <v>50</v>
      </c>
      <c r="B43" s="163">
        <v>41</v>
      </c>
      <c r="C43" s="163" t="s">
        <v>1116</v>
      </c>
      <c r="D43" s="163" t="s">
        <v>779</v>
      </c>
      <c r="E43" s="165">
        <v>222476</v>
      </c>
      <c r="F43" s="165">
        <v>120385</v>
      </c>
      <c r="G43" s="165">
        <f t="shared" si="0"/>
        <v>102091</v>
      </c>
      <c r="H43" s="172">
        <f t="shared" si="1"/>
        <v>0.4588854528128877</v>
      </c>
      <c r="I43" s="166" t="s">
        <v>823</v>
      </c>
      <c r="J43" s="5" t="s">
        <v>1119</v>
      </c>
      <c r="O43" s="167">
        <v>5</v>
      </c>
      <c r="P43" s="167">
        <v>0.2</v>
      </c>
      <c r="R43" s="111">
        <v>109</v>
      </c>
      <c r="S43" s="78">
        <v>10.44</v>
      </c>
      <c r="T43" s="168"/>
      <c r="U43" s="175" t="s">
        <v>509</v>
      </c>
      <c r="V43" s="176">
        <v>50</v>
      </c>
      <c r="W43" s="170">
        <v>2.5</v>
      </c>
      <c r="X43" s="111">
        <f>'fert +pest rates'!D43</f>
        <v>197.04425000000003</v>
      </c>
      <c r="Y43" s="5">
        <f>'fert +pest rates'!I43</f>
        <v>237.86100000000002</v>
      </c>
      <c r="Z43" s="166">
        <f>'fert +pest rates'!N43</f>
        <v>0</v>
      </c>
      <c r="AA43" s="166">
        <f>'fert +pest rates'!O43</f>
        <v>0</v>
      </c>
      <c r="AB43" s="5">
        <f t="shared" si="10"/>
        <v>0</v>
      </c>
      <c r="AC43" s="5">
        <f t="shared" si="11"/>
        <v>0</v>
      </c>
      <c r="AD43" s="108">
        <v>69</v>
      </c>
      <c r="AE43" s="428" t="str">
        <f>'fert +pest rates'!Q43</f>
        <v>500g/ha Atrazine, 600g/ha Diuron, 700g/ha 2-4-D (amicide)</v>
      </c>
      <c r="AF43" s="108">
        <v>0.5</v>
      </c>
      <c r="AG43" s="108">
        <v>0.6</v>
      </c>
      <c r="AH43" s="108">
        <v>0.7</v>
      </c>
      <c r="AI43" s="108"/>
      <c r="AJ43" s="108"/>
      <c r="AK43" s="415">
        <f>'fert +pest rates'!S43</f>
        <v>0</v>
      </c>
      <c r="AL43" s="108"/>
      <c r="AM43" s="108"/>
      <c r="AN43" s="108"/>
      <c r="AO43" s="417"/>
      <c r="AP43" s="108"/>
      <c r="AQ43" s="108"/>
      <c r="AR43" s="108"/>
      <c r="AS43" s="108"/>
      <c r="AT43" s="108">
        <v>0.15</v>
      </c>
      <c r="AU43" s="108"/>
      <c r="AV43" s="108"/>
      <c r="AW43" s="108"/>
      <c r="AX43" s="108">
        <v>0.3</v>
      </c>
      <c r="AZ43" s="166" t="s">
        <v>823</v>
      </c>
      <c r="BA43" s="168" t="s">
        <v>181</v>
      </c>
      <c r="BB43" s="166"/>
      <c r="BD43" s="541">
        <f>'Recycle pits'!AP35</f>
        <v>0.28588838130319577</v>
      </c>
      <c r="BE43" s="541">
        <f t="shared" si="4"/>
        <v>0.28588838130319577</v>
      </c>
      <c r="BH43" s="5">
        <v>109</v>
      </c>
      <c r="BI43" s="5">
        <v>10.44</v>
      </c>
      <c r="BJ43" s="72">
        <f t="shared" si="5"/>
        <v>16.35</v>
      </c>
      <c r="BK43" s="72">
        <f t="shared" si="6"/>
        <v>0</v>
      </c>
      <c r="BL43" s="107" t="e">
        <f t="shared" si="2"/>
        <v>#NUM!</v>
      </c>
      <c r="BM43" s="579">
        <f t="shared" si="7"/>
        <v>10.44</v>
      </c>
      <c r="BN43" s="72">
        <f t="shared" si="8"/>
        <v>16.35</v>
      </c>
      <c r="BO43" s="72">
        <f t="shared" si="9"/>
        <v>63.8532110091743</v>
      </c>
      <c r="BP43" s="107">
        <f t="shared" si="3"/>
        <v>0.41565868710993215</v>
      </c>
    </row>
    <row r="44" spans="1:68" s="5" customFormat="1" ht="51">
      <c r="A44" s="164">
        <v>51</v>
      </c>
      <c r="B44" s="163">
        <v>42</v>
      </c>
      <c r="C44" s="163" t="s">
        <v>1116</v>
      </c>
      <c r="D44" s="163" t="s">
        <v>779</v>
      </c>
      <c r="E44" s="165">
        <v>10000</v>
      </c>
      <c r="F44" s="165">
        <v>5000</v>
      </c>
      <c r="G44" s="165">
        <f t="shared" si="0"/>
        <v>5000</v>
      </c>
      <c r="H44" s="172">
        <f t="shared" si="1"/>
        <v>0.5</v>
      </c>
      <c r="I44" s="166" t="s">
        <v>823</v>
      </c>
      <c r="J44" s="5" t="s">
        <v>1119</v>
      </c>
      <c r="K44" s="5" t="s">
        <v>841</v>
      </c>
      <c r="N44" s="5">
        <v>3</v>
      </c>
      <c r="O44" s="167">
        <v>5</v>
      </c>
      <c r="P44" s="167">
        <v>0</v>
      </c>
      <c r="R44" s="111">
        <v>3500</v>
      </c>
      <c r="S44" s="78"/>
      <c r="T44" s="168" t="s">
        <v>1102</v>
      </c>
      <c r="U44" s="175"/>
      <c r="V44" s="176"/>
      <c r="W44" s="170">
        <v>0</v>
      </c>
      <c r="X44" s="111">
        <f>'fert +pest rates'!D44</f>
        <v>200</v>
      </c>
      <c r="Y44" s="5">
        <f>'fert +pest rates'!I44</f>
        <v>250</v>
      </c>
      <c r="Z44" s="166">
        <f>'fert +pest rates'!N44</f>
        <v>0</v>
      </c>
      <c r="AA44" s="166">
        <f>'fert +pest rates'!O44</f>
        <v>0</v>
      </c>
      <c r="AB44" s="5">
        <f t="shared" si="10"/>
        <v>0</v>
      </c>
      <c r="AC44" s="5">
        <f t="shared" si="11"/>
        <v>0</v>
      </c>
      <c r="AD44" s="108">
        <v>68</v>
      </c>
      <c r="AE44" s="428" t="str">
        <f>'fert +pest rates'!Q44</f>
        <v>atrazine 1.5kg/ha; diuron 0.5kg/ha</v>
      </c>
      <c r="AF44" s="108">
        <v>1.5</v>
      </c>
      <c r="AG44" s="108">
        <v>0.5</v>
      </c>
      <c r="AH44" s="108"/>
      <c r="AI44" s="108"/>
      <c r="AJ44" s="108"/>
      <c r="AK44" s="415" t="str">
        <f>'fert +pest rates'!S44</f>
        <v>control pesticides leaving farm on the entire area</v>
      </c>
      <c r="AL44" s="108"/>
      <c r="AM44" s="108"/>
      <c r="AN44" s="108"/>
      <c r="AO44" s="417"/>
      <c r="AP44" s="108"/>
      <c r="AQ44" s="108"/>
      <c r="AR44" s="108"/>
      <c r="AS44" s="108"/>
      <c r="AT44" s="108">
        <v>0.15</v>
      </c>
      <c r="AU44" s="108"/>
      <c r="AV44" s="108"/>
      <c r="AW44" s="108"/>
      <c r="AX44" s="108">
        <v>0.3</v>
      </c>
      <c r="AZ44" s="166" t="s">
        <v>823</v>
      </c>
      <c r="BA44" s="168" t="s">
        <v>1051</v>
      </c>
      <c r="BB44" s="166"/>
      <c r="BD44" s="541">
        <v>0.02</v>
      </c>
      <c r="BE44" s="541">
        <f t="shared" si="4"/>
        <v>0.02</v>
      </c>
      <c r="BH44" s="5">
        <v>3500</v>
      </c>
      <c r="BJ44" s="72">
        <f t="shared" si="5"/>
        <v>525</v>
      </c>
      <c r="BK44" s="72">
        <f t="shared" si="6"/>
        <v>0</v>
      </c>
      <c r="BL44" s="107" t="e">
        <f t="shared" si="2"/>
        <v>#NUM!</v>
      </c>
      <c r="BM44" s="579">
        <f t="shared" si="7"/>
        <v>0</v>
      </c>
      <c r="BN44" s="72">
        <f t="shared" si="8"/>
        <v>525</v>
      </c>
      <c r="BO44" s="72">
        <f t="shared" si="9"/>
        <v>0</v>
      </c>
      <c r="BP44" s="107" t="e">
        <f t="shared" si="3"/>
        <v>#NUM!</v>
      </c>
    </row>
    <row r="45" spans="1:68" s="189" customFormat="1" ht="38.25">
      <c r="A45" s="185" t="s">
        <v>800</v>
      </c>
      <c r="B45" s="184">
        <v>43</v>
      </c>
      <c r="C45" s="184" t="s">
        <v>1116</v>
      </c>
      <c r="D45" s="184" t="s">
        <v>779</v>
      </c>
      <c r="E45" s="186">
        <v>160000</v>
      </c>
      <c r="F45" s="186">
        <v>30000</v>
      </c>
      <c r="G45" s="186">
        <f t="shared" si="0"/>
        <v>130000</v>
      </c>
      <c r="H45" s="231">
        <f t="shared" si="1"/>
        <v>0.8125</v>
      </c>
      <c r="I45" s="188" t="s">
        <v>842</v>
      </c>
      <c r="J45" s="189" t="s">
        <v>1119</v>
      </c>
      <c r="N45" s="189">
        <v>3</v>
      </c>
      <c r="O45" s="190">
        <v>5</v>
      </c>
      <c r="P45" s="190">
        <v>0</v>
      </c>
      <c r="R45" s="191"/>
      <c r="S45" s="192"/>
      <c r="T45" s="193" t="s">
        <v>1096</v>
      </c>
      <c r="U45" s="194" t="s">
        <v>510</v>
      </c>
      <c r="V45" s="195">
        <v>75</v>
      </c>
      <c r="W45" s="196">
        <v>3.75</v>
      </c>
      <c r="X45" s="111">
        <f>'fert +pest rates'!D45</f>
        <v>220</v>
      </c>
      <c r="Y45" s="5">
        <f>'fert +pest rates'!I45</f>
        <v>220</v>
      </c>
      <c r="Z45" s="166">
        <f>'fert +pest rates'!N45</f>
        <v>0</v>
      </c>
      <c r="AA45" s="166">
        <f>'fert +pest rates'!O45</f>
        <v>0</v>
      </c>
      <c r="AB45" s="5">
        <f t="shared" si="10"/>
        <v>0</v>
      </c>
      <c r="AC45" s="5">
        <f t="shared" si="11"/>
        <v>0</v>
      </c>
      <c r="AD45" s="197">
        <v>227</v>
      </c>
      <c r="AE45" s="428">
        <f>'fert +pest rates'!Q45</f>
        <v>0</v>
      </c>
      <c r="AF45" s="197"/>
      <c r="AG45" s="197"/>
      <c r="AH45" s="197"/>
      <c r="AI45" s="197"/>
      <c r="AJ45" s="197"/>
      <c r="AK45" s="415">
        <f>'fert +pest rates'!S45</f>
        <v>0</v>
      </c>
      <c r="AL45" s="197"/>
      <c r="AM45" s="197"/>
      <c r="AN45" s="197"/>
      <c r="AO45" s="419"/>
      <c r="AP45" s="197"/>
      <c r="AQ45" s="197"/>
      <c r="AR45" s="197"/>
      <c r="AS45" s="197"/>
      <c r="AT45" s="197">
        <v>0.15</v>
      </c>
      <c r="AU45" s="108"/>
      <c r="AV45" s="197"/>
      <c r="AW45" s="197"/>
      <c r="AX45" s="197">
        <v>0.3</v>
      </c>
      <c r="AZ45" s="188" t="s">
        <v>842</v>
      </c>
      <c r="BA45" s="193" t="s">
        <v>1096</v>
      </c>
      <c r="BB45" s="188"/>
      <c r="BD45" s="540">
        <v>0.5</v>
      </c>
      <c r="BE45" s="541">
        <f t="shared" si="4"/>
        <v>0.5</v>
      </c>
      <c r="BJ45" s="72">
        <f t="shared" si="5"/>
        <v>0</v>
      </c>
      <c r="BK45" s="72" t="e">
        <f aca="true" t="shared" si="12" ref="BK45:BK88">BG45/BJ45*100</f>
        <v>#DIV/0!</v>
      </c>
      <c r="BL45" s="107" t="e">
        <f t="shared" si="2"/>
        <v>#DIV/0!</v>
      </c>
      <c r="BM45" s="579">
        <f t="shared" si="7"/>
        <v>0</v>
      </c>
      <c r="BN45" s="72">
        <f t="shared" si="8"/>
        <v>0</v>
      </c>
      <c r="BO45" s="72" t="e">
        <f t="shared" si="9"/>
        <v>#DIV/0!</v>
      </c>
      <c r="BP45" s="107" t="e">
        <f t="shared" si="3"/>
        <v>#DIV/0!</v>
      </c>
    </row>
    <row r="46" spans="1:68" s="76" customFormat="1" ht="38.25">
      <c r="A46" s="233" t="s">
        <v>801</v>
      </c>
      <c r="B46" s="232">
        <v>44</v>
      </c>
      <c r="C46" s="232" t="s">
        <v>1116</v>
      </c>
      <c r="D46" s="232" t="s">
        <v>780</v>
      </c>
      <c r="E46" s="234">
        <v>4000</v>
      </c>
      <c r="F46" s="234">
        <v>500</v>
      </c>
      <c r="G46" s="234">
        <f t="shared" si="0"/>
        <v>3500</v>
      </c>
      <c r="H46" s="243">
        <f t="shared" si="1"/>
        <v>0.875</v>
      </c>
      <c r="I46" s="236" t="s">
        <v>844</v>
      </c>
      <c r="J46" s="76" t="s">
        <v>1119</v>
      </c>
      <c r="N46" s="76">
        <v>3</v>
      </c>
      <c r="O46" s="237">
        <v>5</v>
      </c>
      <c r="P46" s="237">
        <v>0</v>
      </c>
      <c r="R46" s="77"/>
      <c r="S46" s="132"/>
      <c r="T46" s="193" t="s">
        <v>684</v>
      </c>
      <c r="U46" s="239" t="s">
        <v>473</v>
      </c>
      <c r="V46" s="240">
        <v>25</v>
      </c>
      <c r="W46" s="241">
        <v>1.25</v>
      </c>
      <c r="X46" s="111">
        <f>'fert +pest rates'!D46</f>
        <v>0</v>
      </c>
      <c r="Y46" s="5">
        <f>'fert +pest rates'!I46</f>
        <v>0</v>
      </c>
      <c r="Z46" s="166">
        <f>'fert +pest rates'!N46</f>
        <v>0</v>
      </c>
      <c r="AA46" s="166">
        <f>'fert +pest rates'!O46</f>
        <v>0</v>
      </c>
      <c r="AB46" s="5">
        <f t="shared" si="10"/>
        <v>0</v>
      </c>
      <c r="AC46" s="5">
        <f t="shared" si="11"/>
        <v>0</v>
      </c>
      <c r="AD46" s="242"/>
      <c r="AE46" s="428">
        <f>'fert +pest rates'!Q46</f>
        <v>0</v>
      </c>
      <c r="AF46" s="242"/>
      <c r="AG46" s="242"/>
      <c r="AH46" s="242"/>
      <c r="AI46" s="242"/>
      <c r="AJ46" s="242"/>
      <c r="AK46" s="415">
        <f>'fert +pest rates'!S46</f>
        <v>0</v>
      </c>
      <c r="AL46" s="242"/>
      <c r="AM46" s="242"/>
      <c r="AN46" s="242"/>
      <c r="AO46" s="422"/>
      <c r="AP46" s="242"/>
      <c r="AQ46" s="242"/>
      <c r="AR46" s="242"/>
      <c r="AS46" s="242"/>
      <c r="AT46" s="242">
        <v>0.15</v>
      </c>
      <c r="AU46" s="108"/>
      <c r="AV46" s="242"/>
      <c r="AW46" s="242"/>
      <c r="AX46" s="242">
        <v>0.3</v>
      </c>
      <c r="AZ46" s="236" t="s">
        <v>844</v>
      </c>
      <c r="BA46" s="193" t="s">
        <v>684</v>
      </c>
      <c r="BB46" s="236"/>
      <c r="BD46" s="546"/>
      <c r="BE46" s="541">
        <f t="shared" si="4"/>
        <v>0</v>
      </c>
      <c r="BJ46" s="72">
        <f t="shared" si="5"/>
        <v>0</v>
      </c>
      <c r="BK46" s="72" t="e">
        <f t="shared" si="12"/>
        <v>#DIV/0!</v>
      </c>
      <c r="BL46" s="107" t="e">
        <f t="shared" si="2"/>
        <v>#DIV/0!</v>
      </c>
      <c r="BM46" s="579">
        <f t="shared" si="7"/>
        <v>0</v>
      </c>
      <c r="BN46" s="72">
        <f t="shared" si="8"/>
        <v>0</v>
      </c>
      <c r="BO46" s="72" t="e">
        <f t="shared" si="9"/>
        <v>#DIV/0!</v>
      </c>
      <c r="BP46" s="107" t="e">
        <f t="shared" si="3"/>
        <v>#DIV/0!</v>
      </c>
    </row>
    <row r="47" spans="1:68" s="189" customFormat="1" ht="38.25">
      <c r="A47" s="185">
        <v>53</v>
      </c>
      <c r="B47" s="184">
        <v>45</v>
      </c>
      <c r="C47" s="184" t="s">
        <v>1116</v>
      </c>
      <c r="D47" s="184" t="s">
        <v>779</v>
      </c>
      <c r="E47" s="186">
        <v>47000</v>
      </c>
      <c r="F47" s="186">
        <v>10000</v>
      </c>
      <c r="G47" s="186">
        <f t="shared" si="0"/>
        <v>37000</v>
      </c>
      <c r="H47" s="231">
        <f t="shared" si="1"/>
        <v>0.7872340425531915</v>
      </c>
      <c r="I47" s="188" t="s">
        <v>12</v>
      </c>
      <c r="J47" s="189" t="s">
        <v>1120</v>
      </c>
      <c r="N47" s="189">
        <v>3</v>
      </c>
      <c r="O47" s="190">
        <v>5</v>
      </c>
      <c r="P47" s="190">
        <v>0</v>
      </c>
      <c r="R47" s="191"/>
      <c r="S47" s="192"/>
      <c r="T47" s="193" t="s">
        <v>1096</v>
      </c>
      <c r="U47" s="194"/>
      <c r="V47" s="195"/>
      <c r="W47" s="196"/>
      <c r="X47" s="111">
        <f>'fert +pest rates'!D47</f>
        <v>202.1525</v>
      </c>
      <c r="Y47" s="111">
        <f>'fert +pest rates'!I47</f>
        <v>340.86</v>
      </c>
      <c r="Z47" s="166">
        <f>'fert +pest rates'!N47</f>
        <v>0</v>
      </c>
      <c r="AA47" s="166">
        <f>'fert +pest rates'!O47</f>
        <v>0</v>
      </c>
      <c r="AB47" s="5">
        <f t="shared" si="10"/>
        <v>0</v>
      </c>
      <c r="AC47" s="5">
        <f t="shared" si="11"/>
        <v>0</v>
      </c>
      <c r="AD47" s="197">
        <v>49</v>
      </c>
      <c r="AE47" s="428">
        <f>'fert +pest rates'!Q47</f>
        <v>0</v>
      </c>
      <c r="AF47" s="197"/>
      <c r="AG47" s="197"/>
      <c r="AH47" s="197"/>
      <c r="AI47" s="197"/>
      <c r="AJ47" s="197"/>
      <c r="AK47" s="415">
        <f>'fert +pest rates'!S47</f>
        <v>0</v>
      </c>
      <c r="AL47" s="197"/>
      <c r="AM47" s="197"/>
      <c r="AN47" s="197"/>
      <c r="AO47" s="419"/>
      <c r="AP47" s="197"/>
      <c r="AQ47" s="197"/>
      <c r="AR47" s="197"/>
      <c r="AS47" s="197"/>
      <c r="AT47" s="197"/>
      <c r="AU47" s="108"/>
      <c r="AV47" s="197"/>
      <c r="AW47" s="197"/>
      <c r="AX47" s="197"/>
      <c r="AZ47" s="188" t="s">
        <v>12</v>
      </c>
      <c r="BA47" s="193" t="s">
        <v>1049</v>
      </c>
      <c r="BB47" s="188"/>
      <c r="BD47" s="540">
        <v>0.05</v>
      </c>
      <c r="BE47" s="541">
        <f t="shared" si="4"/>
        <v>0.05</v>
      </c>
      <c r="BJ47" s="72">
        <f t="shared" si="5"/>
        <v>0</v>
      </c>
      <c r="BK47" s="72" t="e">
        <f t="shared" si="12"/>
        <v>#DIV/0!</v>
      </c>
      <c r="BL47" s="107" t="e">
        <f t="shared" si="2"/>
        <v>#DIV/0!</v>
      </c>
      <c r="BM47" s="579">
        <f t="shared" si="7"/>
        <v>0</v>
      </c>
      <c r="BN47" s="72">
        <f t="shared" si="8"/>
        <v>0</v>
      </c>
      <c r="BO47" s="72" t="e">
        <f t="shared" si="9"/>
        <v>#DIV/0!</v>
      </c>
      <c r="BP47" s="107" t="e">
        <f t="shared" si="3"/>
        <v>#DIV/0!</v>
      </c>
    </row>
    <row r="48" spans="1:68" s="5" customFormat="1" ht="25.5">
      <c r="A48" s="164">
        <v>54</v>
      </c>
      <c r="B48" s="163">
        <v>46</v>
      </c>
      <c r="C48" s="163" t="s">
        <v>1116</v>
      </c>
      <c r="D48" s="163" t="s">
        <v>779</v>
      </c>
      <c r="E48" s="165">
        <v>5000</v>
      </c>
      <c r="F48" s="165">
        <v>0</v>
      </c>
      <c r="G48" s="165">
        <f t="shared" si="0"/>
        <v>5000</v>
      </c>
      <c r="H48" s="110">
        <f t="shared" si="1"/>
        <v>1</v>
      </c>
      <c r="I48" s="166" t="s">
        <v>823</v>
      </c>
      <c r="J48" s="181" t="s">
        <v>1119</v>
      </c>
      <c r="N48" s="5">
        <v>3</v>
      </c>
      <c r="O48" s="167">
        <v>5</v>
      </c>
      <c r="P48" s="167">
        <v>0.15</v>
      </c>
      <c r="R48" s="111">
        <v>20</v>
      </c>
      <c r="S48" s="78">
        <v>6</v>
      </c>
      <c r="T48" s="168"/>
      <c r="U48" s="175"/>
      <c r="V48" s="176"/>
      <c r="W48" s="170">
        <v>0</v>
      </c>
      <c r="X48" s="111">
        <f>'fert +pest rates'!D48</f>
        <v>199.065</v>
      </c>
      <c r="Y48" s="111">
        <f>'fert +pest rates'!I48</f>
        <v>227.24</v>
      </c>
      <c r="Z48" s="166">
        <f>'fert +pest rates'!N48</f>
        <v>0</v>
      </c>
      <c r="AA48" s="166">
        <f>'fert +pest rates'!O48</f>
        <v>0</v>
      </c>
      <c r="AB48" s="5">
        <f t="shared" si="10"/>
        <v>0</v>
      </c>
      <c r="AC48" s="5">
        <f t="shared" si="11"/>
        <v>0</v>
      </c>
      <c r="AD48" s="108">
        <v>72</v>
      </c>
      <c r="AE48" s="431" t="str">
        <f>'fert +pest rates'!Q48</f>
        <v>Ikg Baton and 2L ametryn</v>
      </c>
      <c r="AF48" s="108"/>
      <c r="AG48" s="108"/>
      <c r="AH48" s="108"/>
      <c r="AI48" s="108"/>
      <c r="AJ48" s="108"/>
      <c r="AK48" s="415">
        <f>'fert +pest rates'!S48</f>
        <v>0</v>
      </c>
      <c r="AL48" s="108"/>
      <c r="AM48" s="108"/>
      <c r="AN48" s="108"/>
      <c r="AO48" s="417"/>
      <c r="AP48" s="108"/>
      <c r="AQ48" s="108"/>
      <c r="AR48" s="108"/>
      <c r="AS48" s="108"/>
      <c r="AT48" s="108">
        <v>0.15</v>
      </c>
      <c r="AU48" s="108"/>
      <c r="AV48" s="108"/>
      <c r="AW48" s="108"/>
      <c r="AX48" s="108">
        <v>0.3</v>
      </c>
      <c r="AZ48" s="166" t="s">
        <v>823</v>
      </c>
      <c r="BA48" s="168" t="s">
        <v>181</v>
      </c>
      <c r="BB48" s="166"/>
      <c r="BD48" s="541">
        <f>'Recycle pits'!AP37</f>
        <v>0.5059646004237847</v>
      </c>
      <c r="BE48" s="541">
        <f t="shared" si="4"/>
        <v>0.5059646004237847</v>
      </c>
      <c r="BH48" s="5">
        <v>20</v>
      </c>
      <c r="BI48" s="5">
        <v>6</v>
      </c>
      <c r="BJ48" s="72">
        <f t="shared" si="5"/>
        <v>3</v>
      </c>
      <c r="BK48" s="72">
        <f t="shared" si="12"/>
        <v>0</v>
      </c>
      <c r="BL48" s="107" t="e">
        <f t="shared" si="2"/>
        <v>#NUM!</v>
      </c>
      <c r="BM48" s="579">
        <f t="shared" si="7"/>
        <v>6</v>
      </c>
      <c r="BN48" s="72">
        <f t="shared" si="8"/>
        <v>3</v>
      </c>
      <c r="BO48" s="72">
        <f t="shared" si="9"/>
        <v>200</v>
      </c>
      <c r="BP48" s="107">
        <f t="shared" si="3"/>
        <v>0.5298317366548037</v>
      </c>
    </row>
    <row r="49" spans="1:68" s="199" customFormat="1" ht="38.25">
      <c r="A49" s="202">
        <v>59</v>
      </c>
      <c r="B49" s="201">
        <v>47</v>
      </c>
      <c r="C49" s="201" t="s">
        <v>1116</v>
      </c>
      <c r="D49" s="201" t="s">
        <v>779</v>
      </c>
      <c r="E49" s="203">
        <v>20000</v>
      </c>
      <c r="F49" s="203">
        <v>10000</v>
      </c>
      <c r="G49" s="203">
        <f t="shared" si="0"/>
        <v>10000</v>
      </c>
      <c r="H49" s="245">
        <f t="shared" si="1"/>
        <v>0.5</v>
      </c>
      <c r="I49" s="83" t="s">
        <v>845</v>
      </c>
      <c r="J49" s="199" t="s">
        <v>1119</v>
      </c>
      <c r="K49" s="199" t="s">
        <v>837</v>
      </c>
      <c r="N49" s="199">
        <v>3</v>
      </c>
      <c r="O49" s="205">
        <v>5</v>
      </c>
      <c r="P49" s="205">
        <v>0</v>
      </c>
      <c r="R49" s="206"/>
      <c r="S49" s="207"/>
      <c r="T49" s="208" t="s">
        <v>1103</v>
      </c>
      <c r="U49" s="219" t="s">
        <v>473</v>
      </c>
      <c r="V49" s="211">
        <v>25</v>
      </c>
      <c r="W49" s="211">
        <v>1.25</v>
      </c>
      <c r="X49" s="111">
        <f>'fert +pest rates'!D49</f>
        <v>193.7715</v>
      </c>
      <c r="Y49" s="5">
        <f>'fert +pest rates'!I49</f>
        <v>201.55200000000002</v>
      </c>
      <c r="Z49" s="166">
        <f>'fert +pest rates'!N49</f>
        <v>0</v>
      </c>
      <c r="AA49" s="166">
        <f>'fert +pest rates'!O49</f>
        <v>0</v>
      </c>
      <c r="AB49" s="5">
        <f t="shared" si="10"/>
        <v>0</v>
      </c>
      <c r="AC49" s="5">
        <f t="shared" si="11"/>
        <v>0</v>
      </c>
      <c r="AD49" s="212">
        <v>125</v>
      </c>
      <c r="AE49" s="428" t="str">
        <f>'fert +pest rates'!Q49</f>
        <v>Atrazine 0.5L/ha;     2-4-D    0.75L/ha MCPA</v>
      </c>
      <c r="AF49" s="212">
        <v>0.5</v>
      </c>
      <c r="AG49" s="212"/>
      <c r="AH49" s="212">
        <v>0.75</v>
      </c>
      <c r="AI49" s="212"/>
      <c r="AJ49" s="212"/>
      <c r="AK49" s="424" t="str">
        <f>'fert +pest rates'!S49</f>
        <v>Atrazine 0; 24D the same</v>
      </c>
      <c r="AL49" s="212">
        <v>0</v>
      </c>
      <c r="AM49" s="212"/>
      <c r="AN49" s="212">
        <v>0.75</v>
      </c>
      <c r="AO49" s="421">
        <f>(AF49-AL49)</f>
        <v>0.5</v>
      </c>
      <c r="AP49" s="421">
        <f>(AG49-AM49)</f>
        <v>0</v>
      </c>
      <c r="AQ49" s="421">
        <f>(AH49-AN49)</f>
        <v>0</v>
      </c>
      <c r="AR49" s="212"/>
      <c r="AS49" s="212"/>
      <c r="AT49" s="212">
        <v>0.15</v>
      </c>
      <c r="AU49" s="108"/>
      <c r="AV49" s="212"/>
      <c r="AW49" s="212"/>
      <c r="AX49" s="212">
        <v>0.3</v>
      </c>
      <c r="AZ49" s="83" t="s">
        <v>845</v>
      </c>
      <c r="BA49" s="208" t="s">
        <v>1103</v>
      </c>
      <c r="BB49" s="83"/>
      <c r="BD49" s="542">
        <v>0.15</v>
      </c>
      <c r="BE49" s="541">
        <f t="shared" si="4"/>
        <v>0.15</v>
      </c>
      <c r="BJ49" s="72">
        <f t="shared" si="5"/>
        <v>0</v>
      </c>
      <c r="BK49" s="72" t="e">
        <f t="shared" si="12"/>
        <v>#DIV/0!</v>
      </c>
      <c r="BL49" s="107" t="e">
        <f t="shared" si="2"/>
        <v>#DIV/0!</v>
      </c>
      <c r="BM49" s="579">
        <f t="shared" si="7"/>
        <v>0</v>
      </c>
      <c r="BN49" s="72">
        <f t="shared" si="8"/>
        <v>0</v>
      </c>
      <c r="BO49" s="72" t="e">
        <f t="shared" si="9"/>
        <v>#DIV/0!</v>
      </c>
      <c r="BP49" s="107" t="e">
        <f t="shared" si="3"/>
        <v>#DIV/0!</v>
      </c>
    </row>
    <row r="50" spans="1:69" s="5" customFormat="1" ht="38.25">
      <c r="A50" s="164">
        <v>61</v>
      </c>
      <c r="B50" s="163">
        <v>48</v>
      </c>
      <c r="C50" s="163" t="s">
        <v>1116</v>
      </c>
      <c r="D50" s="163" t="s">
        <v>779</v>
      </c>
      <c r="E50" s="165">
        <v>14000</v>
      </c>
      <c r="F50" s="165">
        <v>9000</v>
      </c>
      <c r="G50" s="165">
        <f t="shared" si="0"/>
        <v>5000</v>
      </c>
      <c r="H50" s="110">
        <f t="shared" si="1"/>
        <v>0.35714285714285715</v>
      </c>
      <c r="I50" s="166" t="s">
        <v>857</v>
      </c>
      <c r="J50" s="181" t="s">
        <v>1119</v>
      </c>
      <c r="N50" s="5">
        <v>5</v>
      </c>
      <c r="O50" s="167">
        <v>5</v>
      </c>
      <c r="P50" s="167">
        <v>0</v>
      </c>
      <c r="R50" s="111">
        <v>60</v>
      </c>
      <c r="S50" s="78">
        <v>9</v>
      </c>
      <c r="T50" s="166" t="s">
        <v>857</v>
      </c>
      <c r="V50" s="180"/>
      <c r="W50" s="170">
        <v>0</v>
      </c>
      <c r="X50" s="111">
        <f>'fert +pest rates'!D50</f>
        <v>140</v>
      </c>
      <c r="Y50" s="5">
        <f>'fert +pest rates'!I50</f>
        <v>180</v>
      </c>
      <c r="Z50" s="166">
        <f>'fert +pest rates'!N50</f>
        <v>0</v>
      </c>
      <c r="AA50" s="166">
        <f>'fert +pest rates'!O50</f>
        <v>0</v>
      </c>
      <c r="AB50" s="5">
        <f t="shared" si="10"/>
        <v>0</v>
      </c>
      <c r="AC50" s="5">
        <f t="shared" si="11"/>
        <v>0</v>
      </c>
      <c r="AD50" s="108">
        <v>125</v>
      </c>
      <c r="AE50" s="428" t="str">
        <f>'fert +pest rates'!Q50</f>
        <v>3Kg/ha Atrazine, 0.75kg/ha Diuron, 1L/ha 2-4-D</v>
      </c>
      <c r="AF50" s="108">
        <v>3</v>
      </c>
      <c r="AG50" s="108">
        <v>0.75</v>
      </c>
      <c r="AH50" s="108">
        <v>1</v>
      </c>
      <c r="AI50" s="108"/>
      <c r="AJ50" s="108"/>
      <c r="AK50" s="415">
        <f>'fert +pest rates'!S50</f>
        <v>0</v>
      </c>
      <c r="AL50" s="108"/>
      <c r="AM50" s="108"/>
      <c r="AN50" s="108"/>
      <c r="AO50" s="417"/>
      <c r="AP50" s="108"/>
      <c r="AQ50" s="108"/>
      <c r="AR50" s="108"/>
      <c r="AS50" s="108"/>
      <c r="AT50" s="108">
        <v>0.15</v>
      </c>
      <c r="AU50" s="108"/>
      <c r="AV50" s="108"/>
      <c r="AW50" s="108"/>
      <c r="AX50" s="108">
        <v>0.3</v>
      </c>
      <c r="AZ50" s="166" t="s">
        <v>857</v>
      </c>
      <c r="BA50" s="166" t="s">
        <v>182</v>
      </c>
      <c r="BB50" s="166"/>
      <c r="BD50" s="541">
        <f>BQ50</f>
        <v>0.11755733298042392</v>
      </c>
      <c r="BE50" s="541">
        <f t="shared" si="4"/>
        <v>0.11755733298042392</v>
      </c>
      <c r="BG50" s="5">
        <v>5</v>
      </c>
      <c r="BH50" s="5">
        <v>60</v>
      </c>
      <c r="BI50" s="5">
        <v>5</v>
      </c>
      <c r="BJ50" s="72">
        <f t="shared" si="5"/>
        <v>9</v>
      </c>
      <c r="BK50" s="72">
        <f t="shared" si="12"/>
        <v>55.55555555555556</v>
      </c>
      <c r="BL50" s="107">
        <f t="shared" si="2"/>
        <v>0.4017383521085972</v>
      </c>
      <c r="BM50" s="579">
        <f t="shared" si="7"/>
        <v>9</v>
      </c>
      <c r="BN50" s="72">
        <f t="shared" si="8"/>
        <v>9</v>
      </c>
      <c r="BO50" s="72">
        <f t="shared" si="9"/>
        <v>100</v>
      </c>
      <c r="BP50" s="107">
        <f t="shared" si="3"/>
        <v>0.46051701859880917</v>
      </c>
      <c r="BQ50" s="40">
        <f>(BP50-BL50)*2</f>
        <v>0.11755733298042392</v>
      </c>
    </row>
    <row r="51" spans="1:68" s="189" customFormat="1" ht="51">
      <c r="A51" s="185" t="s">
        <v>802</v>
      </c>
      <c r="B51" s="184">
        <v>49</v>
      </c>
      <c r="C51" s="184" t="s">
        <v>1116</v>
      </c>
      <c r="D51" s="184" t="s">
        <v>779</v>
      </c>
      <c r="E51" s="186">
        <v>200000</v>
      </c>
      <c r="F51" s="186">
        <v>100000</v>
      </c>
      <c r="G51" s="186">
        <f t="shared" si="0"/>
        <v>100000</v>
      </c>
      <c r="H51" s="187">
        <f t="shared" si="1"/>
        <v>0.5</v>
      </c>
      <c r="I51" s="188" t="s">
        <v>846</v>
      </c>
      <c r="J51" s="189" t="s">
        <v>1119</v>
      </c>
      <c r="N51" s="189">
        <v>3</v>
      </c>
      <c r="O51" s="190">
        <v>7</v>
      </c>
      <c r="P51" s="190">
        <v>1</v>
      </c>
      <c r="R51" s="191"/>
      <c r="S51" s="192"/>
      <c r="T51" s="193" t="s">
        <v>511</v>
      </c>
      <c r="U51" s="194" t="s">
        <v>513</v>
      </c>
      <c r="V51" s="195">
        <v>50</v>
      </c>
      <c r="W51" s="196">
        <v>2.5</v>
      </c>
      <c r="X51" s="111">
        <f>'fert +pest rates'!D51</f>
        <v>183.82125</v>
      </c>
      <c r="Y51" s="5">
        <f>'fert +pest rates'!I51</f>
        <v>170.66</v>
      </c>
      <c r="Z51" s="414" t="str">
        <f>'fert +pest rates'!N51</f>
        <v>100L/ha Easy Pk, 100L/ha Easy N</v>
      </c>
      <c r="AA51" s="414" t="str">
        <f>'fert +pest rates'!O51</f>
        <v>100L/ha Easy N</v>
      </c>
      <c r="AB51" s="326">
        <v>44</v>
      </c>
      <c r="AC51" s="326">
        <v>43</v>
      </c>
      <c r="AD51" s="197">
        <v>55</v>
      </c>
      <c r="AE51" s="428" t="str">
        <f>'fert +pest rates'!Q51</f>
        <v>1L/ha Amicide</v>
      </c>
      <c r="AF51" s="197"/>
      <c r="AG51" s="197"/>
      <c r="AH51" s="197">
        <v>1</v>
      </c>
      <c r="AI51" s="197"/>
      <c r="AJ51" s="197"/>
      <c r="AK51" s="415">
        <f>'fert +pest rates'!S51</f>
        <v>0</v>
      </c>
      <c r="AL51" s="197"/>
      <c r="AM51" s="197"/>
      <c r="AN51" s="197"/>
      <c r="AO51" s="419"/>
      <c r="AP51" s="197"/>
      <c r="AQ51" s="197"/>
      <c r="AR51" s="197"/>
      <c r="AS51" s="197"/>
      <c r="AT51" s="197">
        <v>0.15</v>
      </c>
      <c r="AU51" s="108"/>
      <c r="AV51" s="197"/>
      <c r="AW51" s="197"/>
      <c r="AX51" s="197">
        <v>0.3</v>
      </c>
      <c r="AZ51" s="188" t="s">
        <v>846</v>
      </c>
      <c r="BA51" s="193" t="s">
        <v>511</v>
      </c>
      <c r="BB51" s="188"/>
      <c r="BD51" s="540">
        <v>0.5</v>
      </c>
      <c r="BE51" s="541">
        <f t="shared" si="4"/>
        <v>0.5</v>
      </c>
      <c r="BJ51" s="72">
        <f t="shared" si="5"/>
        <v>0</v>
      </c>
      <c r="BK51" s="72" t="e">
        <f t="shared" si="12"/>
        <v>#DIV/0!</v>
      </c>
      <c r="BL51" s="107" t="e">
        <f t="shared" si="2"/>
        <v>#DIV/0!</v>
      </c>
      <c r="BM51" s="579">
        <f t="shared" si="7"/>
        <v>0</v>
      </c>
      <c r="BN51" s="72">
        <f t="shared" si="8"/>
        <v>0</v>
      </c>
      <c r="BO51" s="72" t="e">
        <f t="shared" si="9"/>
        <v>#DIV/0!</v>
      </c>
      <c r="BP51" s="107" t="e">
        <f t="shared" si="3"/>
        <v>#DIV/0!</v>
      </c>
    </row>
    <row r="52" spans="1:68" s="189" customFormat="1" ht="51">
      <c r="A52" s="185" t="s">
        <v>803</v>
      </c>
      <c r="B52" s="184">
        <v>50</v>
      </c>
      <c r="C52" s="184" t="s">
        <v>1116</v>
      </c>
      <c r="D52" s="184" t="s">
        <v>779</v>
      </c>
      <c r="E52" s="186">
        <v>70000</v>
      </c>
      <c r="F52" s="186">
        <v>35000</v>
      </c>
      <c r="G52" s="186">
        <f t="shared" si="0"/>
        <v>35000</v>
      </c>
      <c r="H52" s="187">
        <f t="shared" si="1"/>
        <v>0.5</v>
      </c>
      <c r="I52" s="188" t="s">
        <v>846</v>
      </c>
      <c r="J52" s="189" t="s">
        <v>1119</v>
      </c>
      <c r="N52" s="189">
        <v>3</v>
      </c>
      <c r="O52" s="190">
        <v>7</v>
      </c>
      <c r="P52" s="190">
        <v>1</v>
      </c>
      <c r="R52" s="191"/>
      <c r="S52" s="192"/>
      <c r="T52" s="193" t="s">
        <v>511</v>
      </c>
      <c r="U52" s="194" t="s">
        <v>514</v>
      </c>
      <c r="V52" s="195">
        <v>75</v>
      </c>
      <c r="W52" s="196">
        <v>3.75</v>
      </c>
      <c r="X52" s="111">
        <f>'fert +pest rates'!D52</f>
        <v>183.82125</v>
      </c>
      <c r="Y52" s="5">
        <f>'fert +pest rates'!I52</f>
        <v>170.66</v>
      </c>
      <c r="Z52" s="414" t="str">
        <f>'fert +pest rates'!N52</f>
        <v>100L/ha Easy Pk, 100L/ha Easy N</v>
      </c>
      <c r="AA52" s="414">
        <f>'fert +pest rates'!O52</f>
        <v>0</v>
      </c>
      <c r="AB52" s="326">
        <v>44</v>
      </c>
      <c r="AC52" s="326">
        <v>43</v>
      </c>
      <c r="AD52" s="197">
        <v>20</v>
      </c>
      <c r="AE52" s="428" t="str">
        <f>'fert +pest rates'!Q52</f>
        <v>1L/ha Amicide</v>
      </c>
      <c r="AF52" s="197"/>
      <c r="AG52" s="197"/>
      <c r="AH52" s="197">
        <v>1</v>
      </c>
      <c r="AI52" s="197"/>
      <c r="AJ52" s="197"/>
      <c r="AK52" s="415">
        <f>'fert +pest rates'!S52</f>
        <v>0</v>
      </c>
      <c r="AL52" s="197"/>
      <c r="AM52" s="197"/>
      <c r="AN52" s="197"/>
      <c r="AO52" s="419"/>
      <c r="AP52" s="197"/>
      <c r="AQ52" s="197"/>
      <c r="AR52" s="197"/>
      <c r="AS52" s="197"/>
      <c r="AT52" s="197">
        <v>0.15</v>
      </c>
      <c r="AU52" s="108"/>
      <c r="AV52" s="197"/>
      <c r="AW52" s="197"/>
      <c r="AX52" s="197">
        <v>0.3</v>
      </c>
      <c r="AZ52" s="188" t="s">
        <v>846</v>
      </c>
      <c r="BA52" s="193" t="s">
        <v>511</v>
      </c>
      <c r="BB52" s="188"/>
      <c r="BD52" s="540">
        <v>0.5</v>
      </c>
      <c r="BE52" s="541">
        <f t="shared" si="4"/>
        <v>0.5</v>
      </c>
      <c r="BJ52" s="72">
        <f t="shared" si="5"/>
        <v>0</v>
      </c>
      <c r="BK52" s="72" t="e">
        <f t="shared" si="12"/>
        <v>#DIV/0!</v>
      </c>
      <c r="BL52" s="107" t="e">
        <f t="shared" si="2"/>
        <v>#DIV/0!</v>
      </c>
      <c r="BM52" s="579">
        <f t="shared" si="7"/>
        <v>0</v>
      </c>
      <c r="BN52" s="72">
        <f t="shared" si="8"/>
        <v>0</v>
      </c>
      <c r="BO52" s="72" t="e">
        <f t="shared" si="9"/>
        <v>#DIV/0!</v>
      </c>
      <c r="BP52" s="107" t="e">
        <f t="shared" si="3"/>
        <v>#DIV/0!</v>
      </c>
    </row>
    <row r="53" spans="1:68" s="5" customFormat="1" ht="25.5">
      <c r="A53" s="164">
        <v>64</v>
      </c>
      <c r="B53" s="163">
        <v>51</v>
      </c>
      <c r="C53" s="163" t="s">
        <v>1116</v>
      </c>
      <c r="D53" s="183" t="s">
        <v>779</v>
      </c>
      <c r="E53" s="165">
        <v>250000</v>
      </c>
      <c r="F53" s="165">
        <v>215000</v>
      </c>
      <c r="G53" s="165">
        <f t="shared" si="0"/>
        <v>35000</v>
      </c>
      <c r="H53" s="172">
        <f t="shared" si="1"/>
        <v>0.14</v>
      </c>
      <c r="I53" s="166" t="s">
        <v>823</v>
      </c>
      <c r="J53" s="5" t="s">
        <v>1119</v>
      </c>
      <c r="N53" s="5">
        <v>2</v>
      </c>
      <c r="O53" s="167">
        <v>5</v>
      </c>
      <c r="P53" s="167">
        <v>0</v>
      </c>
      <c r="R53" s="111">
        <v>400</v>
      </c>
      <c r="S53" s="78">
        <v>160</v>
      </c>
      <c r="T53" s="168"/>
      <c r="U53" s="169" t="s">
        <v>473</v>
      </c>
      <c r="V53" s="170">
        <v>25</v>
      </c>
      <c r="W53" s="170">
        <v>1.25</v>
      </c>
      <c r="X53" s="111">
        <f>'fert +pest rates'!D53</f>
        <v>0</v>
      </c>
      <c r="Y53" s="5">
        <f>'fert +pest rates'!I53</f>
        <v>0</v>
      </c>
      <c r="Z53" s="166">
        <f>'fert +pest rates'!N53</f>
        <v>0</v>
      </c>
      <c r="AA53" s="166">
        <f>'fert +pest rates'!O53</f>
        <v>0</v>
      </c>
      <c r="AB53" s="5">
        <f t="shared" si="10"/>
        <v>0</v>
      </c>
      <c r="AC53" s="5">
        <f t="shared" si="11"/>
        <v>0</v>
      </c>
      <c r="AD53" s="108"/>
      <c r="AE53" s="428">
        <f>'fert +pest rates'!Q53</f>
        <v>0</v>
      </c>
      <c r="AF53" s="108"/>
      <c r="AG53" s="108"/>
      <c r="AH53" s="108"/>
      <c r="AI53" s="108"/>
      <c r="AJ53" s="108"/>
      <c r="AK53" s="415">
        <f>'fert +pest rates'!S53</f>
        <v>0</v>
      </c>
      <c r="AL53" s="108"/>
      <c r="AM53" s="108"/>
      <c r="AN53" s="108"/>
      <c r="AO53" s="417"/>
      <c r="AP53" s="108"/>
      <c r="AQ53" s="108"/>
      <c r="AR53" s="108"/>
      <c r="AS53" s="108"/>
      <c r="AT53" s="108">
        <v>0.15</v>
      </c>
      <c r="AU53" s="108"/>
      <c r="AV53" s="108"/>
      <c r="AW53" s="108"/>
      <c r="AX53" s="108">
        <v>0.3</v>
      </c>
      <c r="AZ53" s="166" t="s">
        <v>823</v>
      </c>
      <c r="BA53" s="168" t="s">
        <v>181</v>
      </c>
      <c r="BB53" s="166"/>
      <c r="BD53" s="541">
        <f>'Recycle pits'!AP39</f>
        <v>0.5842375965101869</v>
      </c>
      <c r="BE53" s="541">
        <f t="shared" si="4"/>
        <v>0.5842375965101869</v>
      </c>
      <c r="BH53" s="5">
        <v>400</v>
      </c>
      <c r="BI53" s="5">
        <v>160</v>
      </c>
      <c r="BJ53" s="72">
        <f t="shared" si="5"/>
        <v>60</v>
      </c>
      <c r="BK53" s="72">
        <f t="shared" si="12"/>
        <v>0</v>
      </c>
      <c r="BL53" s="107" t="e">
        <f t="shared" si="2"/>
        <v>#NUM!</v>
      </c>
      <c r="BM53" s="579">
        <f t="shared" si="7"/>
        <v>160</v>
      </c>
      <c r="BN53" s="72">
        <f t="shared" si="8"/>
        <v>60</v>
      </c>
      <c r="BO53" s="72">
        <f t="shared" si="9"/>
        <v>266.66666666666663</v>
      </c>
      <c r="BP53" s="107">
        <f t="shared" si="3"/>
        <v>0.5585999438999817</v>
      </c>
    </row>
    <row r="54" spans="1:68" s="5" customFormat="1" ht="25.5">
      <c r="A54" s="164">
        <v>66</v>
      </c>
      <c r="B54" s="163">
        <v>52</v>
      </c>
      <c r="C54" s="163" t="s">
        <v>1116</v>
      </c>
      <c r="D54" s="183" t="s">
        <v>779</v>
      </c>
      <c r="E54" s="165">
        <v>12400</v>
      </c>
      <c r="F54" s="165">
        <v>4000</v>
      </c>
      <c r="G54" s="165">
        <f t="shared" si="0"/>
        <v>8400</v>
      </c>
      <c r="H54" s="172">
        <f t="shared" si="1"/>
        <v>0.6774193548387096</v>
      </c>
      <c r="I54" s="166" t="s">
        <v>823</v>
      </c>
      <c r="J54" s="5" t="s">
        <v>1119</v>
      </c>
      <c r="N54" s="5">
        <v>3</v>
      </c>
      <c r="O54" s="167">
        <v>5</v>
      </c>
      <c r="P54" s="167">
        <v>0</v>
      </c>
      <c r="Q54" s="5" t="s">
        <v>515</v>
      </c>
      <c r="R54" s="111">
        <v>90</v>
      </c>
      <c r="S54" s="78">
        <v>5</v>
      </c>
      <c r="T54" s="168"/>
      <c r="U54" s="175"/>
      <c r="V54" s="176"/>
      <c r="W54" s="170">
        <v>0</v>
      </c>
      <c r="X54" s="111">
        <f>'fert +pest rates'!D54</f>
        <v>142.025</v>
      </c>
      <c r="Y54" s="5">
        <f>'fert +pest rates'!I54</f>
        <v>227.24</v>
      </c>
      <c r="Z54" s="166">
        <f>'fert +pest rates'!N54</f>
        <v>0</v>
      </c>
      <c r="AA54" s="166">
        <f>'fert +pest rates'!O54</f>
        <v>0</v>
      </c>
      <c r="AB54" s="5">
        <f t="shared" si="10"/>
        <v>0</v>
      </c>
      <c r="AC54" s="5">
        <f t="shared" si="11"/>
        <v>0</v>
      </c>
      <c r="AD54" s="108">
        <v>465</v>
      </c>
      <c r="AE54" s="428" t="str">
        <f>'fert +pest rates'!Q54</f>
        <v>Diuron as a spike: 300 to 600 g/ha</v>
      </c>
      <c r="AF54" s="108"/>
      <c r="AG54" s="108">
        <v>0.45</v>
      </c>
      <c r="AH54" s="108"/>
      <c r="AI54" s="108"/>
      <c r="AJ54" s="108"/>
      <c r="AK54" s="415">
        <f>'fert +pest rates'!S54</f>
        <v>0</v>
      </c>
      <c r="AL54" s="108"/>
      <c r="AM54" s="108"/>
      <c r="AN54" s="108"/>
      <c r="AO54" s="417"/>
      <c r="AP54" s="108"/>
      <c r="AQ54" s="108"/>
      <c r="AR54" s="108"/>
      <c r="AS54" s="108"/>
      <c r="AT54" s="108">
        <v>0.15</v>
      </c>
      <c r="AU54" s="108"/>
      <c r="AV54" s="108"/>
      <c r="AW54" s="108"/>
      <c r="AX54" s="108">
        <v>0.3</v>
      </c>
      <c r="AZ54" s="166" t="s">
        <v>823</v>
      </c>
      <c r="BA54" s="168" t="s">
        <v>181</v>
      </c>
      <c r="BB54" s="166"/>
      <c r="BD54" s="541">
        <f>'Recycle pits'!AP40</f>
        <v>0.217732496801312</v>
      </c>
      <c r="BE54" s="541">
        <f t="shared" si="4"/>
        <v>0.217732496801312</v>
      </c>
      <c r="BG54" s="5" t="s">
        <v>515</v>
      </c>
      <c r="BH54" s="5">
        <v>90</v>
      </c>
      <c r="BI54" s="5">
        <v>5</v>
      </c>
      <c r="BJ54" s="72">
        <f t="shared" si="5"/>
        <v>13.499999999999998</v>
      </c>
      <c r="BK54" s="72" t="e">
        <f t="shared" si="12"/>
        <v>#VALUE!</v>
      </c>
      <c r="BL54" s="107" t="e">
        <f t="shared" si="2"/>
        <v>#VALUE!</v>
      </c>
      <c r="BM54" s="579">
        <f t="shared" si="7"/>
        <v>5</v>
      </c>
      <c r="BN54" s="72">
        <f t="shared" si="8"/>
        <v>13.499999999999998</v>
      </c>
      <c r="BO54" s="72">
        <f t="shared" si="9"/>
        <v>37.03703703703704</v>
      </c>
      <c r="BP54" s="107">
        <f t="shared" si="3"/>
        <v>0.3611918412977808</v>
      </c>
    </row>
    <row r="55" spans="1:68" s="5" customFormat="1" ht="38.25">
      <c r="A55" s="164">
        <v>69</v>
      </c>
      <c r="B55" s="163">
        <v>53</v>
      </c>
      <c r="C55" s="163" t="s">
        <v>1116</v>
      </c>
      <c r="D55" s="163" t="s">
        <v>779</v>
      </c>
      <c r="E55" s="165">
        <v>50000</v>
      </c>
      <c r="F55" s="165">
        <v>20000</v>
      </c>
      <c r="G55" s="165">
        <f t="shared" si="0"/>
        <v>30000</v>
      </c>
      <c r="H55" s="110">
        <f t="shared" si="1"/>
        <v>0.6</v>
      </c>
      <c r="I55" s="166" t="s">
        <v>825</v>
      </c>
      <c r="J55" s="5" t="s">
        <v>1119</v>
      </c>
      <c r="N55" s="5">
        <v>3</v>
      </c>
      <c r="O55" s="167">
        <v>5</v>
      </c>
      <c r="P55" s="167">
        <v>0</v>
      </c>
      <c r="R55" s="111">
        <v>121</v>
      </c>
      <c r="S55" s="78">
        <v>7</v>
      </c>
      <c r="T55" s="168"/>
      <c r="U55" s="175" t="s">
        <v>516</v>
      </c>
      <c r="V55" s="176">
        <v>50</v>
      </c>
      <c r="W55" s="170">
        <v>2.5</v>
      </c>
      <c r="X55" s="111">
        <f>'fert +pest rates'!D55</f>
        <v>265.21625</v>
      </c>
      <c r="Y55" s="5">
        <f>'fert +pest rates'!I55</f>
        <v>220.75625</v>
      </c>
      <c r="Z55" s="166">
        <f>'fert +pest rates'!N55</f>
        <v>0</v>
      </c>
      <c r="AA55" s="166">
        <f>'fert +pest rates'!O55</f>
        <v>0</v>
      </c>
      <c r="AB55" s="5">
        <f t="shared" si="10"/>
        <v>0</v>
      </c>
      <c r="AC55" s="5">
        <f t="shared" si="11"/>
        <v>0</v>
      </c>
      <c r="AD55" s="108">
        <v>109</v>
      </c>
      <c r="AE55" s="428" t="str">
        <f>'fert +pest rates'!Q55</f>
        <v>2.5Kg/ha Atrazine, 1.2kg/ha Diuron, 1.2L/ha 2-4-D</v>
      </c>
      <c r="AF55" s="108">
        <v>2.5</v>
      </c>
      <c r="AG55" s="108">
        <v>1.2</v>
      </c>
      <c r="AH55" s="108">
        <v>1.2</v>
      </c>
      <c r="AI55" s="108"/>
      <c r="AJ55" s="108"/>
      <c r="AK55" s="415">
        <f>'fert +pest rates'!S55</f>
        <v>0</v>
      </c>
      <c r="AL55" s="108"/>
      <c r="AM55" s="108"/>
      <c r="AN55" s="108"/>
      <c r="AO55" s="417"/>
      <c r="AP55" s="108"/>
      <c r="AQ55" s="108"/>
      <c r="AR55" s="108"/>
      <c r="AS55" s="108"/>
      <c r="AT55" s="108">
        <v>0.15</v>
      </c>
      <c r="AU55" s="108"/>
      <c r="AV55" s="108"/>
      <c r="AW55" s="108"/>
      <c r="AX55" s="108">
        <v>0.3</v>
      </c>
      <c r="AZ55" s="166" t="s">
        <v>825</v>
      </c>
      <c r="BA55" s="168" t="s">
        <v>181</v>
      </c>
      <c r="BB55" s="166"/>
      <c r="BD55" s="541">
        <f>'Recycle pits'!AP41</f>
        <v>0.22218556499928072</v>
      </c>
      <c r="BE55" s="541">
        <f t="shared" si="4"/>
        <v>0.22218556499928072</v>
      </c>
      <c r="BH55" s="5">
        <v>121</v>
      </c>
      <c r="BI55" s="5">
        <v>8.4</v>
      </c>
      <c r="BJ55" s="72">
        <f t="shared" si="5"/>
        <v>18.15</v>
      </c>
      <c r="BK55" s="72">
        <f t="shared" si="12"/>
        <v>0</v>
      </c>
      <c r="BL55" s="107" t="e">
        <f t="shared" si="2"/>
        <v>#NUM!</v>
      </c>
      <c r="BM55" s="579">
        <f t="shared" si="7"/>
        <v>7</v>
      </c>
      <c r="BN55" s="72">
        <f t="shared" si="8"/>
        <v>18.15</v>
      </c>
      <c r="BO55" s="72">
        <f t="shared" si="9"/>
        <v>38.56749311294766</v>
      </c>
      <c r="BP55" s="107">
        <f t="shared" si="3"/>
        <v>0.36524097743325445</v>
      </c>
    </row>
    <row r="56" spans="1:69" s="5" customFormat="1" ht="38.25">
      <c r="A56" s="164" t="s">
        <v>804</v>
      </c>
      <c r="B56" s="163">
        <v>54</v>
      </c>
      <c r="C56" s="163" t="s">
        <v>1116</v>
      </c>
      <c r="D56" s="163" t="s">
        <v>779</v>
      </c>
      <c r="E56" s="165">
        <v>24250</v>
      </c>
      <c r="F56" s="165">
        <v>13120</v>
      </c>
      <c r="G56" s="165">
        <f t="shared" si="0"/>
        <v>11130</v>
      </c>
      <c r="H56" s="172">
        <f t="shared" si="1"/>
        <v>0.4589690721649485</v>
      </c>
      <c r="I56" s="166" t="s">
        <v>1082</v>
      </c>
      <c r="J56" s="5" t="s">
        <v>1119</v>
      </c>
      <c r="K56" s="5" t="s">
        <v>841</v>
      </c>
      <c r="N56" s="5">
        <v>3</v>
      </c>
      <c r="O56" s="167">
        <v>5</v>
      </c>
      <c r="P56" s="167">
        <v>0</v>
      </c>
      <c r="R56" s="111"/>
      <c r="S56" s="78">
        <v>10</v>
      </c>
      <c r="T56" s="166" t="s">
        <v>1082</v>
      </c>
      <c r="U56" s="175" t="s">
        <v>501</v>
      </c>
      <c r="V56" s="176">
        <v>50</v>
      </c>
      <c r="W56" s="170">
        <v>2.5</v>
      </c>
      <c r="X56" s="111">
        <f>'fert +pest rates'!D56</f>
        <v>239.46</v>
      </c>
      <c r="Y56" s="5">
        <f>'fert +pest rates'!I56</f>
        <v>205.8</v>
      </c>
      <c r="Z56" s="166">
        <f>'fert +pest rates'!N56</f>
        <v>0</v>
      </c>
      <c r="AA56" s="166">
        <f>'fert +pest rates'!O56</f>
        <v>0</v>
      </c>
      <c r="AB56" s="5">
        <f t="shared" si="10"/>
        <v>0</v>
      </c>
      <c r="AC56" s="5">
        <f t="shared" si="11"/>
        <v>0</v>
      </c>
      <c r="AD56" s="108">
        <v>380</v>
      </c>
      <c r="AE56" s="428" t="str">
        <f>'fert +pest rates'!Q56</f>
        <v>4.5L/ha Atrazine</v>
      </c>
      <c r="AF56" s="108">
        <v>4.5</v>
      </c>
      <c r="AG56" s="108"/>
      <c r="AH56" s="108"/>
      <c r="AI56" s="108"/>
      <c r="AJ56" s="108"/>
      <c r="AK56" s="415" t="str">
        <f>'fert +pest rates'!S56</f>
        <v>moving away from residuals</v>
      </c>
      <c r="AL56" s="108"/>
      <c r="AM56" s="108"/>
      <c r="AN56" s="108"/>
      <c r="AO56" s="417"/>
      <c r="AP56" s="108"/>
      <c r="AQ56" s="108"/>
      <c r="AR56" s="108"/>
      <c r="AS56" s="108"/>
      <c r="AT56" s="108">
        <v>0.15</v>
      </c>
      <c r="AU56" s="108"/>
      <c r="AV56" s="108"/>
      <c r="AW56" s="108"/>
      <c r="AX56" s="108">
        <v>0.3</v>
      </c>
      <c r="AZ56" s="166" t="s">
        <v>1082</v>
      </c>
      <c r="BA56" s="166" t="s">
        <v>512</v>
      </c>
      <c r="BB56" s="166"/>
      <c r="BD56" s="541">
        <v>0.2</v>
      </c>
      <c r="BE56" s="541">
        <f t="shared" si="4"/>
        <v>0.2</v>
      </c>
      <c r="BG56" s="5">
        <v>10</v>
      </c>
      <c r="BH56" s="5">
        <v>380</v>
      </c>
      <c r="BI56" s="5">
        <v>10</v>
      </c>
      <c r="BJ56" s="72">
        <f t="shared" si="5"/>
        <v>57</v>
      </c>
      <c r="BK56" s="72">
        <f t="shared" si="12"/>
        <v>17.543859649122805</v>
      </c>
      <c r="BL56" s="107">
        <f t="shared" si="2"/>
        <v>0.28647040111475863</v>
      </c>
      <c r="BM56" s="579">
        <f t="shared" si="7"/>
        <v>10</v>
      </c>
      <c r="BN56" s="72">
        <f t="shared" si="8"/>
        <v>57</v>
      </c>
      <c r="BO56" s="72">
        <f t="shared" si="9"/>
        <v>17.543859649122805</v>
      </c>
      <c r="BP56" s="107">
        <f t="shared" si="3"/>
        <v>0.28647040111475863</v>
      </c>
      <c r="BQ56" s="40">
        <f>(BP56-BL56)*2</f>
        <v>0</v>
      </c>
    </row>
    <row r="57" spans="1:68" s="189" customFormat="1" ht="63.75">
      <c r="A57" s="185" t="s">
        <v>805</v>
      </c>
      <c r="B57" s="184">
        <v>55</v>
      </c>
      <c r="C57" s="184" t="s">
        <v>1116</v>
      </c>
      <c r="D57" s="184" t="s">
        <v>779</v>
      </c>
      <c r="E57" s="186">
        <v>11200</v>
      </c>
      <c r="F57" s="186">
        <v>5400</v>
      </c>
      <c r="G57" s="186">
        <f t="shared" si="0"/>
        <v>5800</v>
      </c>
      <c r="H57" s="231">
        <f t="shared" si="1"/>
        <v>0.5178571428571429</v>
      </c>
      <c r="I57" s="188" t="s">
        <v>1083</v>
      </c>
      <c r="J57" s="189" t="s">
        <v>1119</v>
      </c>
      <c r="K57" s="189" t="s">
        <v>841</v>
      </c>
      <c r="N57" s="189">
        <v>3</v>
      </c>
      <c r="O57" s="190">
        <v>5</v>
      </c>
      <c r="P57" s="190">
        <v>0</v>
      </c>
      <c r="R57" s="191"/>
      <c r="S57" s="192"/>
      <c r="T57" s="193" t="s">
        <v>436</v>
      </c>
      <c r="U57" s="194" t="s">
        <v>501</v>
      </c>
      <c r="V57" s="195">
        <v>50</v>
      </c>
      <c r="W57" s="196">
        <v>2.5</v>
      </c>
      <c r="X57" s="111">
        <f>'fert +pest rates'!D57</f>
        <v>239.46</v>
      </c>
      <c r="Y57" s="5">
        <f>'fert +pest rates'!I57</f>
        <v>205.8</v>
      </c>
      <c r="Z57" s="166">
        <f>'fert +pest rates'!N57</f>
        <v>0</v>
      </c>
      <c r="AA57" s="166">
        <f>'fert +pest rates'!O57</f>
        <v>0</v>
      </c>
      <c r="AB57" s="5">
        <f t="shared" si="10"/>
        <v>0</v>
      </c>
      <c r="AC57" s="5">
        <f t="shared" si="11"/>
        <v>0</v>
      </c>
      <c r="AD57" s="197">
        <v>380</v>
      </c>
      <c r="AE57" s="428" t="str">
        <f>'fert +pest rates'!Q57</f>
        <v>4.5L/ha Atrazine</v>
      </c>
      <c r="AF57" s="197">
        <v>4.5</v>
      </c>
      <c r="AG57" s="197"/>
      <c r="AH57" s="197"/>
      <c r="AI57" s="197"/>
      <c r="AJ57" s="197"/>
      <c r="AK57" s="415" t="str">
        <f>'fert +pest rates'!S57</f>
        <v>moving away from residuals</v>
      </c>
      <c r="AL57" s="197"/>
      <c r="AM57" s="197"/>
      <c r="AN57" s="197"/>
      <c r="AO57" s="419"/>
      <c r="AP57" s="197"/>
      <c r="AQ57" s="197"/>
      <c r="AR57" s="197"/>
      <c r="AS57" s="197"/>
      <c r="AT57" s="197">
        <v>0.15</v>
      </c>
      <c r="AU57" s="108"/>
      <c r="AV57" s="197"/>
      <c r="AW57" s="197"/>
      <c r="AX57" s="197">
        <v>0.3</v>
      </c>
      <c r="AZ57" s="188" t="s">
        <v>1083</v>
      </c>
      <c r="BA57" s="193" t="s">
        <v>436</v>
      </c>
      <c r="BB57" s="188" t="s">
        <v>442</v>
      </c>
      <c r="BC57" s="540">
        <v>0.0025</v>
      </c>
      <c r="BD57" s="540">
        <v>0.01</v>
      </c>
      <c r="BE57" s="541">
        <f t="shared" si="4"/>
        <v>0.01</v>
      </c>
      <c r="BJ57" s="72">
        <f t="shared" si="5"/>
        <v>0</v>
      </c>
      <c r="BK57" s="72" t="e">
        <f t="shared" si="12"/>
        <v>#DIV/0!</v>
      </c>
      <c r="BL57" s="107" t="e">
        <f t="shared" si="2"/>
        <v>#DIV/0!</v>
      </c>
      <c r="BM57" s="579">
        <f t="shared" si="7"/>
        <v>0</v>
      </c>
      <c r="BN57" s="72">
        <f t="shared" si="8"/>
        <v>0</v>
      </c>
      <c r="BO57" s="72" t="e">
        <f t="shared" si="9"/>
        <v>#DIV/0!</v>
      </c>
      <c r="BP57" s="107" t="e">
        <f t="shared" si="3"/>
        <v>#DIV/0!</v>
      </c>
    </row>
    <row r="58" spans="1:68" s="199" customFormat="1" ht="38.25">
      <c r="A58" s="202">
        <v>71</v>
      </c>
      <c r="B58" s="201">
        <v>56</v>
      </c>
      <c r="C58" s="201" t="s">
        <v>1116</v>
      </c>
      <c r="D58" s="201" t="s">
        <v>779</v>
      </c>
      <c r="E58" s="203">
        <v>54000</v>
      </c>
      <c r="F58" s="203">
        <v>36000</v>
      </c>
      <c r="G58" s="203">
        <f t="shared" si="0"/>
        <v>18000</v>
      </c>
      <c r="H58" s="204">
        <f t="shared" si="1"/>
        <v>0.3333333333333333</v>
      </c>
      <c r="I58" s="83" t="s">
        <v>824</v>
      </c>
      <c r="J58" s="199" t="s">
        <v>1119</v>
      </c>
      <c r="K58" s="199" t="s">
        <v>841</v>
      </c>
      <c r="N58" s="199">
        <v>3</v>
      </c>
      <c r="O58" s="205">
        <v>5</v>
      </c>
      <c r="P58" s="205">
        <v>0</v>
      </c>
      <c r="R58" s="206"/>
      <c r="S58" s="207"/>
      <c r="T58" s="208" t="s">
        <v>1095</v>
      </c>
      <c r="U58" s="209" t="s">
        <v>501</v>
      </c>
      <c r="V58" s="210">
        <v>50</v>
      </c>
      <c r="W58" s="211">
        <v>2.5</v>
      </c>
      <c r="X58" s="111">
        <f>'fert +pest rates'!D58</f>
        <v>239.46</v>
      </c>
      <c r="Y58" s="5">
        <f>'fert +pest rates'!I58</f>
        <v>205.8</v>
      </c>
      <c r="Z58" s="166">
        <f>'fert +pest rates'!N58</f>
        <v>0</v>
      </c>
      <c r="AA58" s="166">
        <f>'fert +pest rates'!O58</f>
        <v>0</v>
      </c>
      <c r="AB58" s="5">
        <f t="shared" si="10"/>
        <v>0</v>
      </c>
      <c r="AC58" s="5">
        <f t="shared" si="11"/>
        <v>0</v>
      </c>
      <c r="AD58" s="212">
        <v>380</v>
      </c>
      <c r="AE58" s="428">
        <f>'fert +pest rates'!Q58</f>
        <v>0</v>
      </c>
      <c r="AF58" s="212"/>
      <c r="AG58" s="212"/>
      <c r="AH58" s="212"/>
      <c r="AI58" s="212"/>
      <c r="AJ58" s="212"/>
      <c r="AK58" s="415">
        <f>'fert +pest rates'!S58</f>
        <v>0</v>
      </c>
      <c r="AL58" s="212"/>
      <c r="AM58" s="212"/>
      <c r="AN58" s="212"/>
      <c r="AO58" s="418"/>
      <c r="AP58" s="212"/>
      <c r="AQ58" s="212"/>
      <c r="AR58" s="212"/>
      <c r="AS58" s="212"/>
      <c r="AT58" s="212">
        <v>0.15</v>
      </c>
      <c r="AU58" s="108"/>
      <c r="AV58" s="212"/>
      <c r="AW58" s="212"/>
      <c r="AX58" s="212">
        <v>0.3</v>
      </c>
      <c r="AZ58" s="83" t="s">
        <v>824</v>
      </c>
      <c r="BA58" s="208" t="s">
        <v>1050</v>
      </c>
      <c r="BB58" s="83"/>
      <c r="BD58" s="542">
        <v>0.15</v>
      </c>
      <c r="BE58" s="541">
        <f t="shared" si="4"/>
        <v>0.15</v>
      </c>
      <c r="BJ58" s="72">
        <f t="shared" si="5"/>
        <v>0</v>
      </c>
      <c r="BK58" s="72" t="e">
        <f t="shared" si="12"/>
        <v>#DIV/0!</v>
      </c>
      <c r="BL58" s="107" t="e">
        <f t="shared" si="2"/>
        <v>#DIV/0!</v>
      </c>
      <c r="BM58" s="579">
        <f t="shared" si="7"/>
        <v>0</v>
      </c>
      <c r="BN58" s="72">
        <f t="shared" si="8"/>
        <v>0</v>
      </c>
      <c r="BO58" s="72" t="e">
        <f t="shared" si="9"/>
        <v>#DIV/0!</v>
      </c>
      <c r="BP58" s="107" t="e">
        <f t="shared" si="3"/>
        <v>#DIV/0!</v>
      </c>
    </row>
    <row r="59" spans="1:68" s="5" customFormat="1" ht="38.25">
      <c r="A59" s="164">
        <v>72</v>
      </c>
      <c r="B59" s="163">
        <v>57</v>
      </c>
      <c r="C59" s="163" t="s">
        <v>1116</v>
      </c>
      <c r="D59" s="163" t="s">
        <v>779</v>
      </c>
      <c r="E59" s="165">
        <v>40000</v>
      </c>
      <c r="F59" s="165">
        <v>20000</v>
      </c>
      <c r="G59" s="165">
        <f t="shared" si="0"/>
        <v>20000</v>
      </c>
      <c r="H59" s="110">
        <f t="shared" si="1"/>
        <v>0.5</v>
      </c>
      <c r="I59" s="166" t="s">
        <v>823</v>
      </c>
      <c r="J59" s="5" t="s">
        <v>1119</v>
      </c>
      <c r="N59" s="5">
        <v>3</v>
      </c>
      <c r="O59" s="167">
        <v>5</v>
      </c>
      <c r="P59" s="167">
        <v>0</v>
      </c>
      <c r="Q59" s="5" t="s">
        <v>541</v>
      </c>
      <c r="R59" s="111">
        <v>215</v>
      </c>
      <c r="S59" s="78">
        <v>10</v>
      </c>
      <c r="T59" s="168"/>
      <c r="U59" s="175" t="s">
        <v>542</v>
      </c>
      <c r="V59" s="176">
        <v>75</v>
      </c>
      <c r="W59" s="170">
        <v>3.75</v>
      </c>
      <c r="X59" s="111">
        <f>'fert +pest rates'!D59</f>
        <v>308.50300000000004</v>
      </c>
      <c r="Y59" s="5">
        <f>'fert +pest rates'!I59</f>
        <v>198.2175</v>
      </c>
      <c r="Z59" s="236" t="str">
        <f>'fert +pest rates'!N59</f>
        <v>286kg custom blend, legumes</v>
      </c>
      <c r="AA59" s="236">
        <f>'fert +pest rates'!O59</f>
        <v>0</v>
      </c>
      <c r="AB59" s="76">
        <v>286</v>
      </c>
      <c r="AC59" s="5">
        <f>Y59</f>
        <v>198.2175</v>
      </c>
      <c r="AD59" s="108">
        <v>66</v>
      </c>
      <c r="AE59" s="428" t="str">
        <f>'fert +pest rates'!Q59</f>
        <v>500g/ha Atrazine, 500g/ha Diuron, 2L/ha 2-4-D</v>
      </c>
      <c r="AF59" s="108">
        <v>0.5</v>
      </c>
      <c r="AG59" s="108">
        <v>0.5</v>
      </c>
      <c r="AH59" s="108">
        <v>2</v>
      </c>
      <c r="AI59" s="108"/>
      <c r="AJ59" s="108"/>
      <c r="AK59" s="415">
        <f>'fert +pest rates'!S59</f>
        <v>0</v>
      </c>
      <c r="AL59" s="108"/>
      <c r="AM59" s="108"/>
      <c r="AN59" s="108"/>
      <c r="AO59" s="417"/>
      <c r="AP59" s="108"/>
      <c r="AQ59" s="108"/>
      <c r="AR59" s="108"/>
      <c r="AS59" s="108"/>
      <c r="AT59" s="108">
        <v>0.15</v>
      </c>
      <c r="AU59" s="108"/>
      <c r="AV59" s="108"/>
      <c r="AW59" s="108"/>
      <c r="AX59" s="108">
        <v>0.3</v>
      </c>
      <c r="AZ59" s="166" t="s">
        <v>823</v>
      </c>
      <c r="BA59" s="168" t="s">
        <v>181</v>
      </c>
      <c r="BB59" s="166"/>
      <c r="BD59" s="541">
        <f>'Recycle pits'!AP43</f>
        <v>0.19922336686289097</v>
      </c>
      <c r="BE59" s="541">
        <f t="shared" si="4"/>
        <v>0.19922336686289097</v>
      </c>
      <c r="BG59" s="5" t="s">
        <v>541</v>
      </c>
      <c r="BH59" s="5">
        <v>215</v>
      </c>
      <c r="BI59" s="5">
        <v>10</v>
      </c>
      <c r="BJ59" s="72">
        <f t="shared" si="5"/>
        <v>32.25</v>
      </c>
      <c r="BK59" s="72" t="e">
        <f t="shared" si="12"/>
        <v>#VALUE!</v>
      </c>
      <c r="BL59" s="107" t="e">
        <f t="shared" si="2"/>
        <v>#VALUE!</v>
      </c>
      <c r="BM59" s="579">
        <f t="shared" si="7"/>
        <v>10</v>
      </c>
      <c r="BN59" s="72">
        <f t="shared" si="8"/>
        <v>32.25</v>
      </c>
      <c r="BO59" s="72">
        <f t="shared" si="9"/>
        <v>31.007751937984494</v>
      </c>
      <c r="BP59" s="107">
        <f t="shared" si="3"/>
        <v>0.34342372357403556</v>
      </c>
    </row>
    <row r="60" spans="1:69" s="5" customFormat="1" ht="38.25">
      <c r="A60" s="164">
        <v>73</v>
      </c>
      <c r="B60" s="163">
        <v>58</v>
      </c>
      <c r="C60" s="163" t="s">
        <v>1116</v>
      </c>
      <c r="D60" s="163" t="s">
        <v>779</v>
      </c>
      <c r="E60" s="165">
        <v>6000</v>
      </c>
      <c r="F60" s="165">
        <v>3000</v>
      </c>
      <c r="G60" s="165">
        <f t="shared" si="0"/>
        <v>3000</v>
      </c>
      <c r="H60" s="110">
        <f t="shared" si="1"/>
        <v>0.5</v>
      </c>
      <c r="I60" s="166" t="s">
        <v>857</v>
      </c>
      <c r="J60" s="5" t="s">
        <v>1119</v>
      </c>
      <c r="N60" s="5">
        <v>3</v>
      </c>
      <c r="O60" s="167">
        <v>5</v>
      </c>
      <c r="P60" s="167">
        <v>0</v>
      </c>
      <c r="R60" s="111">
        <v>80</v>
      </c>
      <c r="S60" s="78">
        <v>3</v>
      </c>
      <c r="T60" s="166" t="s">
        <v>857</v>
      </c>
      <c r="U60" s="175" t="s">
        <v>543</v>
      </c>
      <c r="V60" s="176">
        <v>75</v>
      </c>
      <c r="W60" s="170">
        <v>3.75</v>
      </c>
      <c r="X60" s="111">
        <f>'fert +pest rates'!D60</f>
        <v>131.25</v>
      </c>
      <c r="Y60" s="5">
        <f>'fert +pest rates'!I60</f>
        <v>102.5</v>
      </c>
      <c r="Z60" s="166">
        <f>'fert +pest rates'!N60</f>
        <v>0</v>
      </c>
      <c r="AA60" s="166">
        <f>'fert +pest rates'!O60</f>
        <v>0</v>
      </c>
      <c r="AB60" s="5">
        <f t="shared" si="10"/>
        <v>0</v>
      </c>
      <c r="AC60" s="5">
        <f t="shared" si="11"/>
        <v>0</v>
      </c>
      <c r="AD60" s="108">
        <v>100</v>
      </c>
      <c r="AE60" s="428" t="str">
        <f>'fert +pest rates'!Q60</f>
        <v>600g/ha Atrazine, 600g/ha Diuron, 1.2L/ha 2-4-D</v>
      </c>
      <c r="AF60" s="108">
        <v>0.6</v>
      </c>
      <c r="AG60" s="108">
        <v>0.6</v>
      </c>
      <c r="AH60" s="108">
        <v>1.2</v>
      </c>
      <c r="AI60" s="108"/>
      <c r="AJ60" s="108"/>
      <c r="AK60" s="415">
        <f>'fert +pest rates'!S60</f>
        <v>0</v>
      </c>
      <c r="AL60" s="108"/>
      <c r="AM60" s="108"/>
      <c r="AN60" s="108"/>
      <c r="AO60" s="417"/>
      <c r="AP60" s="108"/>
      <c r="AQ60" s="108"/>
      <c r="AR60" s="108"/>
      <c r="AS60" s="108"/>
      <c r="AT60" s="108">
        <v>0.15</v>
      </c>
      <c r="AU60" s="108"/>
      <c r="AV60" s="108"/>
      <c r="AW60" s="108"/>
      <c r="AX60" s="108">
        <v>0.3</v>
      </c>
      <c r="AZ60" s="166" t="s">
        <v>857</v>
      </c>
      <c r="BA60" s="166" t="s">
        <v>182</v>
      </c>
      <c r="BB60" s="166"/>
      <c r="BD60" s="541">
        <f>BQ60</f>
        <v>0.13862943611198897</v>
      </c>
      <c r="BE60" s="541">
        <f t="shared" si="4"/>
        <v>0.13862943611198897</v>
      </c>
      <c r="BG60" s="5">
        <v>1.5</v>
      </c>
      <c r="BH60" s="5">
        <v>80</v>
      </c>
      <c r="BI60" s="5">
        <v>1.8</v>
      </c>
      <c r="BJ60" s="72">
        <f t="shared" si="5"/>
        <v>12</v>
      </c>
      <c r="BK60" s="72">
        <f t="shared" si="12"/>
        <v>12.5</v>
      </c>
      <c r="BL60" s="107">
        <f t="shared" si="2"/>
        <v>0.25257286443082555</v>
      </c>
      <c r="BM60" s="579">
        <f t="shared" si="7"/>
        <v>3</v>
      </c>
      <c r="BN60" s="72">
        <f t="shared" si="8"/>
        <v>12</v>
      </c>
      <c r="BO60" s="72">
        <f t="shared" si="9"/>
        <v>25</v>
      </c>
      <c r="BP60" s="107">
        <f t="shared" si="3"/>
        <v>0.32188758248682003</v>
      </c>
      <c r="BQ60" s="40">
        <f>(BP60-BL60)*2</f>
        <v>0.13862943611198897</v>
      </c>
    </row>
    <row r="61" spans="1:68" s="199" customFormat="1" ht="63.75">
      <c r="A61" s="202">
        <v>74</v>
      </c>
      <c r="B61" s="201">
        <v>59</v>
      </c>
      <c r="C61" s="201" t="s">
        <v>1116</v>
      </c>
      <c r="D61" s="201" t="s">
        <v>779</v>
      </c>
      <c r="E61" s="203">
        <v>12000</v>
      </c>
      <c r="F61" s="203">
        <v>10000</v>
      </c>
      <c r="G61" s="203">
        <f t="shared" si="0"/>
        <v>2000</v>
      </c>
      <c r="H61" s="245">
        <f t="shared" si="1"/>
        <v>0.16666666666666666</v>
      </c>
      <c r="I61" s="83" t="s">
        <v>847</v>
      </c>
      <c r="J61" s="199" t="s">
        <v>1119</v>
      </c>
      <c r="N61" s="199">
        <v>3</v>
      </c>
      <c r="O61" s="205">
        <v>5</v>
      </c>
      <c r="P61" s="205">
        <v>0.5</v>
      </c>
      <c r="R61" s="206"/>
      <c r="S61" s="207"/>
      <c r="T61" s="208" t="s">
        <v>1104</v>
      </c>
      <c r="U61" s="209" t="s">
        <v>544</v>
      </c>
      <c r="V61" s="210">
        <v>75</v>
      </c>
      <c r="W61" s="211">
        <v>3.75</v>
      </c>
      <c r="X61" s="111">
        <f>'fert +pest rates'!D61</f>
        <v>138.814</v>
      </c>
      <c r="Y61" s="5">
        <f>'fert +pest rates'!I61</f>
        <v>227.24</v>
      </c>
      <c r="Z61" s="414" t="str">
        <f>'fert +pest rates'!N61</f>
        <v>182kgN (Urea)</v>
      </c>
      <c r="AA61" s="414" t="str">
        <f>'fert +pest rates'!O61</f>
        <v>Strip trials</v>
      </c>
      <c r="AB61" s="326">
        <v>84</v>
      </c>
      <c r="AC61" s="326" t="str">
        <f t="shared" si="11"/>
        <v>Strip trials</v>
      </c>
      <c r="AD61" s="212">
        <v>97</v>
      </c>
      <c r="AE61" s="428" t="str">
        <f>'fert +pest rates'!Q61</f>
        <v>500g/ha Atrazine, 500g/ha Diuron, 2L/ha 2-4-D</v>
      </c>
      <c r="AF61" s="212">
        <v>0.5</v>
      </c>
      <c r="AG61" s="212">
        <v>0.5</v>
      </c>
      <c r="AH61" s="212">
        <v>2</v>
      </c>
      <c r="AI61" s="212"/>
      <c r="AJ61" s="212"/>
      <c r="AK61" s="415">
        <f>'fert +pest rates'!S61</f>
        <v>0</v>
      </c>
      <c r="AL61" s="212"/>
      <c r="AM61" s="212"/>
      <c r="AN61" s="212"/>
      <c r="AO61" s="418"/>
      <c r="AP61" s="212"/>
      <c r="AQ61" s="212"/>
      <c r="AR61" s="212"/>
      <c r="AS61" s="212"/>
      <c r="AT61" s="212">
        <v>0.15</v>
      </c>
      <c r="AU61" s="108"/>
      <c r="AV61" s="212"/>
      <c r="AW61" s="212"/>
      <c r="AX61" s="212">
        <v>0.3</v>
      </c>
      <c r="AZ61" s="83" t="s">
        <v>847</v>
      </c>
      <c r="BA61" s="208" t="s">
        <v>1104</v>
      </c>
      <c r="BB61" s="83"/>
      <c r="BD61" s="542">
        <v>0.25</v>
      </c>
      <c r="BE61" s="541">
        <f t="shared" si="4"/>
        <v>0.25</v>
      </c>
      <c r="BJ61" s="72">
        <f t="shared" si="5"/>
        <v>0</v>
      </c>
      <c r="BK61" s="72" t="e">
        <f t="shared" si="12"/>
        <v>#DIV/0!</v>
      </c>
      <c r="BL61" s="107" t="e">
        <f t="shared" si="2"/>
        <v>#DIV/0!</v>
      </c>
      <c r="BM61" s="579">
        <f t="shared" si="7"/>
        <v>0</v>
      </c>
      <c r="BN61" s="72">
        <f t="shared" si="8"/>
        <v>0</v>
      </c>
      <c r="BO61" s="72" t="e">
        <f t="shared" si="9"/>
        <v>#DIV/0!</v>
      </c>
      <c r="BP61" s="107" t="e">
        <f t="shared" si="3"/>
        <v>#DIV/0!</v>
      </c>
    </row>
    <row r="62" spans="1:68" s="67" customFormat="1" ht="63.75">
      <c r="A62" s="221">
        <v>76</v>
      </c>
      <c r="B62" s="220">
        <v>60</v>
      </c>
      <c r="C62" s="220" t="s">
        <v>1116</v>
      </c>
      <c r="D62" s="220" t="s">
        <v>779</v>
      </c>
      <c r="E62" s="222">
        <v>55000</v>
      </c>
      <c r="F62" s="222">
        <v>35000</v>
      </c>
      <c r="G62" s="222">
        <f t="shared" si="0"/>
        <v>20000</v>
      </c>
      <c r="H62" s="256">
        <f t="shared" si="1"/>
        <v>0.36363636363636365</v>
      </c>
      <c r="I62" s="57" t="s">
        <v>848</v>
      </c>
      <c r="J62" s="67" t="s">
        <v>1119</v>
      </c>
      <c r="N62" s="67">
        <v>3</v>
      </c>
      <c r="O62" s="224">
        <v>5</v>
      </c>
      <c r="P62" s="224">
        <v>0</v>
      </c>
      <c r="R62" s="225"/>
      <c r="S62" s="226"/>
      <c r="T62" s="227" t="s">
        <v>545</v>
      </c>
      <c r="U62" s="257" t="s">
        <v>546</v>
      </c>
      <c r="V62" s="258">
        <v>50</v>
      </c>
      <c r="W62" s="229">
        <v>2.5</v>
      </c>
      <c r="X62" s="111">
        <f>'fert +pest rates'!D62</f>
        <v>64.8375</v>
      </c>
      <c r="Y62" s="5">
        <f>'fert +pest rates'!I62</f>
        <v>175.37</v>
      </c>
      <c r="Z62" s="236" t="str">
        <f>'fert +pest rates'!N62</f>
        <v>will reduce further after legumes</v>
      </c>
      <c r="AA62" s="236">
        <f>'fert +pest rates'!O62</f>
        <v>0</v>
      </c>
      <c r="AB62" s="76" t="str">
        <f t="shared" si="10"/>
        <v>will reduce further after legumes</v>
      </c>
      <c r="AC62" s="5">
        <f t="shared" si="11"/>
        <v>0</v>
      </c>
      <c r="AD62" s="230">
        <v>195</v>
      </c>
      <c r="AE62" s="428" t="str">
        <f>'fert +pest rates'!Q62</f>
        <v>Atrazine 2.2kg/ha; Diuron 600g/ha; 24D MCPA @1.4L/ha</v>
      </c>
      <c r="AF62" s="230">
        <v>2.2</v>
      </c>
      <c r="AG62" s="230">
        <v>0.6</v>
      </c>
      <c r="AH62" s="230">
        <v>1.4</v>
      </c>
      <c r="AI62" s="230"/>
      <c r="AJ62" s="230"/>
      <c r="AK62" s="424" t="str">
        <f>'fert +pest rates'!S62</f>
        <v>Atrazine -; Diuron -; 24D same</v>
      </c>
      <c r="AL62" s="230">
        <v>0</v>
      </c>
      <c r="AM62" s="230">
        <v>0</v>
      </c>
      <c r="AN62" s="230">
        <v>1.4</v>
      </c>
      <c r="AO62" s="421">
        <f>(AF62-AL62)</f>
        <v>2.2</v>
      </c>
      <c r="AP62" s="421">
        <f>(AG62-AM62)</f>
        <v>0.6</v>
      </c>
      <c r="AQ62" s="421">
        <f>(AH62-AN62)</f>
        <v>0</v>
      </c>
      <c r="AR62" s="230"/>
      <c r="AS62" s="230"/>
      <c r="AT62" s="230">
        <v>0.15</v>
      </c>
      <c r="AU62" s="108"/>
      <c r="AV62" s="230"/>
      <c r="AW62" s="230"/>
      <c r="AX62" s="230">
        <v>0.3</v>
      </c>
      <c r="AZ62" s="57" t="s">
        <v>848</v>
      </c>
      <c r="BA62" s="227" t="s">
        <v>178</v>
      </c>
      <c r="BB62" s="57"/>
      <c r="BC62" s="544">
        <v>0.008</v>
      </c>
      <c r="BD62" s="544">
        <f>1.4/4.2</f>
        <v>0.3333333333333333</v>
      </c>
      <c r="BE62" s="541">
        <f t="shared" si="4"/>
        <v>0.3333333333333333</v>
      </c>
      <c r="BJ62" s="72">
        <f t="shared" si="5"/>
        <v>0</v>
      </c>
      <c r="BK62" s="72" t="e">
        <f t="shared" si="12"/>
        <v>#DIV/0!</v>
      </c>
      <c r="BL62" s="107" t="e">
        <f t="shared" si="2"/>
        <v>#DIV/0!</v>
      </c>
      <c r="BM62" s="579">
        <f t="shared" si="7"/>
        <v>0</v>
      </c>
      <c r="BN62" s="72">
        <f t="shared" si="8"/>
        <v>0</v>
      </c>
      <c r="BO62" s="72" t="e">
        <f t="shared" si="9"/>
        <v>#DIV/0!</v>
      </c>
      <c r="BP62" s="107" t="e">
        <f t="shared" si="3"/>
        <v>#DIV/0!</v>
      </c>
    </row>
    <row r="63" spans="1:68" s="5" customFormat="1" ht="38.25">
      <c r="A63" s="164">
        <v>77</v>
      </c>
      <c r="B63" s="163">
        <v>61</v>
      </c>
      <c r="C63" s="163" t="s">
        <v>1116</v>
      </c>
      <c r="D63" s="163" t="s">
        <v>779</v>
      </c>
      <c r="E63" s="165">
        <v>20000</v>
      </c>
      <c r="F63" s="165">
        <v>5000</v>
      </c>
      <c r="G63" s="165">
        <f t="shared" si="0"/>
        <v>15000</v>
      </c>
      <c r="H63" s="110">
        <f t="shared" si="1"/>
        <v>0.75</v>
      </c>
      <c r="I63" s="166" t="s">
        <v>856</v>
      </c>
      <c r="J63" s="5" t="s">
        <v>1119</v>
      </c>
      <c r="N63" s="5">
        <v>3</v>
      </c>
      <c r="O63" s="167">
        <v>5</v>
      </c>
      <c r="P63" s="167">
        <v>0.05</v>
      </c>
      <c r="R63" s="111">
        <v>49</v>
      </c>
      <c r="S63" s="78">
        <v>60</v>
      </c>
      <c r="T63" s="168" t="s">
        <v>1105</v>
      </c>
      <c r="U63" s="175" t="s">
        <v>547</v>
      </c>
      <c r="V63" s="176">
        <v>25</v>
      </c>
      <c r="W63" s="170">
        <v>1.25</v>
      </c>
      <c r="X63" s="111">
        <f>'fert +pest rates'!D63</f>
        <v>198.835</v>
      </c>
      <c r="Y63" s="5">
        <f>'fert +pest rates'!I63</f>
        <v>227.24</v>
      </c>
      <c r="Z63" s="414" t="str">
        <f>'fert +pest rates'!N63</f>
        <v>23kgN; 7kg P; 40kg K; 20kg S</v>
      </c>
      <c r="AA63" s="414" t="str">
        <f>'fert +pest rates'!O63</f>
        <v>23kgN; 7kg P; 40kg K; 20kg S</v>
      </c>
      <c r="AB63" s="326">
        <v>23</v>
      </c>
      <c r="AC63" s="326">
        <v>23</v>
      </c>
      <c r="AD63" s="108">
        <v>115</v>
      </c>
      <c r="AE63" s="428" t="str">
        <f>'fert +pest rates'!Q63</f>
        <v>Diuron 300g/ha;       2-4-D 1L/ha</v>
      </c>
      <c r="AF63" s="108"/>
      <c r="AG63" s="108">
        <v>0.3</v>
      </c>
      <c r="AH63" s="108">
        <v>1</v>
      </c>
      <c r="AI63" s="108"/>
      <c r="AJ63" s="108"/>
      <c r="AK63" s="415">
        <f>'fert +pest rates'!S63</f>
        <v>0</v>
      </c>
      <c r="AL63" s="108"/>
      <c r="AM63" s="108"/>
      <c r="AN63" s="108"/>
      <c r="AO63" s="417"/>
      <c r="AP63" s="108"/>
      <c r="AQ63" s="108"/>
      <c r="AR63" s="108"/>
      <c r="AS63" s="108"/>
      <c r="AT63" s="108">
        <v>0.15</v>
      </c>
      <c r="AU63" s="108"/>
      <c r="AV63" s="108"/>
      <c r="AW63" s="108"/>
      <c r="AX63" s="108">
        <v>0.3</v>
      </c>
      <c r="AZ63" s="166" t="s">
        <v>856</v>
      </c>
      <c r="BA63" s="168" t="s">
        <v>1105</v>
      </c>
      <c r="BB63" s="166"/>
      <c r="BD63" s="541">
        <v>0.5</v>
      </c>
      <c r="BE63" s="541">
        <f t="shared" si="4"/>
        <v>0.5</v>
      </c>
      <c r="BH63" s="5">
        <v>49</v>
      </c>
      <c r="BI63" s="5">
        <v>60</v>
      </c>
      <c r="BJ63" s="72">
        <f t="shared" si="5"/>
        <v>7.35</v>
      </c>
      <c r="BK63" s="72">
        <f t="shared" si="12"/>
        <v>0</v>
      </c>
      <c r="BL63" s="107" t="e">
        <f t="shared" si="2"/>
        <v>#NUM!</v>
      </c>
      <c r="BM63" s="579">
        <f t="shared" si="7"/>
        <v>60</v>
      </c>
      <c r="BN63" s="72">
        <f t="shared" si="8"/>
        <v>7.35</v>
      </c>
      <c r="BO63" s="72">
        <f t="shared" si="9"/>
        <v>816.3265306122449</v>
      </c>
      <c r="BP63" s="107">
        <f t="shared" si="3"/>
        <v>0.8</v>
      </c>
    </row>
    <row r="64" spans="1:68" s="76" customFormat="1" ht="51">
      <c r="A64" s="233">
        <v>78</v>
      </c>
      <c r="B64" s="232">
        <v>62</v>
      </c>
      <c r="C64" s="232" t="s">
        <v>1116</v>
      </c>
      <c r="D64" s="232" t="s">
        <v>780</v>
      </c>
      <c r="E64" s="234">
        <v>85454</v>
      </c>
      <c r="F64" s="234">
        <v>55454</v>
      </c>
      <c r="G64" s="234">
        <f t="shared" si="0"/>
        <v>30000</v>
      </c>
      <c r="H64" s="243">
        <f t="shared" si="1"/>
        <v>0.3510660706344934</v>
      </c>
      <c r="I64" s="236" t="s">
        <v>1088</v>
      </c>
      <c r="J64" s="76" t="s">
        <v>1119</v>
      </c>
      <c r="N64" s="76">
        <v>3</v>
      </c>
      <c r="O64" s="237">
        <v>5</v>
      </c>
      <c r="P64" s="237">
        <v>0</v>
      </c>
      <c r="R64" s="77"/>
      <c r="S64" s="132"/>
      <c r="T64" s="238" t="s">
        <v>1106</v>
      </c>
      <c r="U64" s="244" t="s">
        <v>548</v>
      </c>
      <c r="V64" s="241">
        <v>75</v>
      </c>
      <c r="W64" s="241">
        <v>3.75</v>
      </c>
      <c r="X64" s="111">
        <f>'fert +pest rates'!D64</f>
        <v>0</v>
      </c>
      <c r="Y64" s="5">
        <f>'fert +pest rates'!I64</f>
        <v>0</v>
      </c>
      <c r="Z64" s="166">
        <f>'fert +pest rates'!N64</f>
        <v>0</v>
      </c>
      <c r="AA64" s="166">
        <f>'fert +pest rates'!O64</f>
        <v>0</v>
      </c>
      <c r="AB64" s="5">
        <f t="shared" si="10"/>
        <v>0</v>
      </c>
      <c r="AC64" s="5">
        <f t="shared" si="11"/>
        <v>0</v>
      </c>
      <c r="AD64" s="242">
        <v>500</v>
      </c>
      <c r="AE64" s="428">
        <f>'fert +pest rates'!Q64</f>
        <v>0</v>
      </c>
      <c r="AF64" s="242"/>
      <c r="AG64" s="242"/>
      <c r="AH64" s="242"/>
      <c r="AI64" s="242"/>
      <c r="AJ64" s="242"/>
      <c r="AK64" s="415">
        <f>'fert +pest rates'!S64</f>
        <v>0</v>
      </c>
      <c r="AL64" s="242"/>
      <c r="AM64" s="242"/>
      <c r="AN64" s="242"/>
      <c r="AO64" s="422"/>
      <c r="AP64" s="242"/>
      <c r="AQ64" s="242"/>
      <c r="AR64" s="242"/>
      <c r="AS64" s="242"/>
      <c r="AT64" s="242">
        <v>0.15</v>
      </c>
      <c r="AU64" s="108"/>
      <c r="AV64" s="242"/>
      <c r="AW64" s="242"/>
      <c r="AX64" s="242">
        <v>0.3</v>
      </c>
      <c r="AZ64" s="236" t="s">
        <v>1088</v>
      </c>
      <c r="BA64" s="238" t="s">
        <v>1106</v>
      </c>
      <c r="BB64" s="236"/>
      <c r="BD64" s="546"/>
      <c r="BE64" s="541">
        <f t="shared" si="4"/>
        <v>0</v>
      </c>
      <c r="BJ64" s="72">
        <f t="shared" si="5"/>
        <v>0</v>
      </c>
      <c r="BK64" s="72" t="e">
        <f t="shared" si="12"/>
        <v>#DIV/0!</v>
      </c>
      <c r="BL64" s="107" t="e">
        <f t="shared" si="2"/>
        <v>#DIV/0!</v>
      </c>
      <c r="BM64" s="579">
        <f t="shared" si="7"/>
        <v>0</v>
      </c>
      <c r="BN64" s="72">
        <f t="shared" si="8"/>
        <v>0</v>
      </c>
      <c r="BO64" s="72" t="e">
        <f t="shared" si="9"/>
        <v>#DIV/0!</v>
      </c>
      <c r="BP64" s="107" t="e">
        <f t="shared" si="3"/>
        <v>#DIV/0!</v>
      </c>
    </row>
    <row r="65" spans="1:68" s="67" customFormat="1" ht="51">
      <c r="A65" s="221" t="s">
        <v>817</v>
      </c>
      <c r="B65" s="220">
        <v>63</v>
      </c>
      <c r="C65" s="220" t="s">
        <v>1116</v>
      </c>
      <c r="D65" s="220" t="s">
        <v>779</v>
      </c>
      <c r="E65" s="222">
        <v>6000</v>
      </c>
      <c r="F65" s="222">
        <v>2500</v>
      </c>
      <c r="G65" s="222">
        <f t="shared" si="0"/>
        <v>3500</v>
      </c>
      <c r="H65" s="223">
        <f t="shared" si="1"/>
        <v>0.5833333333333334</v>
      </c>
      <c r="I65" s="57" t="s">
        <v>848</v>
      </c>
      <c r="J65" s="67" t="s">
        <v>1119</v>
      </c>
      <c r="N65" s="67">
        <v>3</v>
      </c>
      <c r="O65" s="224">
        <v>5</v>
      </c>
      <c r="P65" s="224">
        <v>0</v>
      </c>
      <c r="R65" s="225"/>
      <c r="S65" s="226"/>
      <c r="T65" s="227" t="s">
        <v>1101</v>
      </c>
      <c r="V65" s="259"/>
      <c r="W65" s="229">
        <v>0</v>
      </c>
      <c r="X65" s="111">
        <f>'fert +pest rates'!D65</f>
        <v>227.24</v>
      </c>
      <c r="Y65" s="5">
        <f>'fert +pest rates'!I65</f>
        <v>251.94</v>
      </c>
      <c r="Z65" s="166">
        <f>'fert +pest rates'!N65</f>
        <v>0</v>
      </c>
      <c r="AA65" s="166">
        <f>'fert +pest rates'!O65</f>
        <v>0</v>
      </c>
      <c r="AB65" s="5">
        <f t="shared" si="10"/>
        <v>0</v>
      </c>
      <c r="AC65" s="5">
        <f t="shared" si="11"/>
        <v>0</v>
      </c>
      <c r="AD65" s="230">
        <v>118</v>
      </c>
      <c r="AE65" s="428" t="str">
        <f>'fert +pest rates'!Q65</f>
        <v>.5L Atrazine/ha; .25L Diuron/ha; 1L 2-4-d/ha</v>
      </c>
      <c r="AF65" s="230">
        <v>0.5</v>
      </c>
      <c r="AG65" s="230">
        <v>0.25</v>
      </c>
      <c r="AH65" s="230">
        <v>1</v>
      </c>
      <c r="AI65" s="230"/>
      <c r="AJ65" s="230"/>
      <c r="AK65" s="415">
        <f>'fert +pest rates'!S65</f>
        <v>0</v>
      </c>
      <c r="AL65" s="230"/>
      <c r="AM65" s="230"/>
      <c r="AN65" s="230"/>
      <c r="AO65" s="421"/>
      <c r="AP65" s="230"/>
      <c r="AQ65" s="230"/>
      <c r="AR65" s="230"/>
      <c r="AS65" s="230"/>
      <c r="AT65" s="230">
        <v>0.15</v>
      </c>
      <c r="AU65" s="108"/>
      <c r="AV65" s="230"/>
      <c r="AX65" s="230">
        <v>0.3</v>
      </c>
      <c r="AZ65" s="57" t="s">
        <v>848</v>
      </c>
      <c r="BA65" s="227" t="s">
        <v>1037</v>
      </c>
      <c r="BB65" s="57"/>
      <c r="BC65" s="544">
        <v>0.008</v>
      </c>
      <c r="BD65" s="544">
        <v>0.75</v>
      </c>
      <c r="BE65" s="541">
        <f t="shared" si="4"/>
        <v>0.75</v>
      </c>
      <c r="BJ65" s="72">
        <f t="shared" si="5"/>
        <v>0</v>
      </c>
      <c r="BK65" s="72" t="e">
        <f t="shared" si="12"/>
        <v>#DIV/0!</v>
      </c>
      <c r="BL65" s="107" t="e">
        <f t="shared" si="2"/>
        <v>#DIV/0!</v>
      </c>
      <c r="BM65" s="579">
        <f t="shared" si="7"/>
        <v>0</v>
      </c>
      <c r="BN65" s="72">
        <f t="shared" si="8"/>
        <v>0</v>
      </c>
      <c r="BO65" s="72" t="e">
        <f t="shared" si="9"/>
        <v>#DIV/0!</v>
      </c>
      <c r="BP65" s="107" t="e">
        <f t="shared" si="3"/>
        <v>#DIV/0!</v>
      </c>
    </row>
    <row r="66" spans="1:68" s="199" customFormat="1" ht="38.25">
      <c r="A66" s="202" t="s">
        <v>818</v>
      </c>
      <c r="B66" s="201">
        <v>64</v>
      </c>
      <c r="C66" s="201" t="s">
        <v>1116</v>
      </c>
      <c r="D66" s="201" t="s">
        <v>779</v>
      </c>
      <c r="E66" s="203">
        <v>3311.25</v>
      </c>
      <c r="F66" s="203">
        <v>500</v>
      </c>
      <c r="G66" s="203">
        <f t="shared" si="0"/>
        <v>2811.25</v>
      </c>
      <c r="H66" s="204">
        <f t="shared" si="1"/>
        <v>0.8489996224990563</v>
      </c>
      <c r="I66" s="83" t="s">
        <v>850</v>
      </c>
      <c r="J66" s="199" t="s">
        <v>1119</v>
      </c>
      <c r="N66" s="199">
        <v>3</v>
      </c>
      <c r="O66" s="205">
        <v>5</v>
      </c>
      <c r="P66" s="205">
        <v>0</v>
      </c>
      <c r="R66" s="206"/>
      <c r="S66" s="207"/>
      <c r="T66" s="260" t="s">
        <v>437</v>
      </c>
      <c r="V66" s="261"/>
      <c r="W66" s="211">
        <v>0</v>
      </c>
      <c r="X66" s="111">
        <f>'fert +pest rates'!D66</f>
        <v>227.24</v>
      </c>
      <c r="Y66" s="5">
        <f>'fert +pest rates'!I66</f>
        <v>251.94</v>
      </c>
      <c r="Z66" s="166">
        <f>0.75*X66</f>
        <v>170.43</v>
      </c>
      <c r="AA66" s="166">
        <f>0.75*Y66</f>
        <v>188.95499999999998</v>
      </c>
      <c r="AB66" s="5">
        <f t="shared" si="10"/>
        <v>170.43</v>
      </c>
      <c r="AC66" s="5">
        <f t="shared" si="11"/>
        <v>188.95499999999998</v>
      </c>
      <c r="AD66" s="212">
        <v>118</v>
      </c>
      <c r="AE66" s="428" t="str">
        <f>'fert +pest rates'!Q66</f>
        <v>.5L Atrazine/ha; .25L Diuron/ha; 1L 2-4-d/ha</v>
      </c>
      <c r="AF66" s="212">
        <v>0.5</v>
      </c>
      <c r="AG66" s="212">
        <v>0.25</v>
      </c>
      <c r="AH66" s="212">
        <v>1</v>
      </c>
      <c r="AI66" s="212"/>
      <c r="AJ66" s="212"/>
      <c r="AK66" s="415">
        <f>'fert +pest rates'!S66</f>
        <v>0</v>
      </c>
      <c r="AL66" s="212"/>
      <c r="AM66" s="212"/>
      <c r="AN66" s="212"/>
      <c r="AO66" s="418"/>
      <c r="AP66" s="212"/>
      <c r="AQ66" s="212"/>
      <c r="AR66" s="212"/>
      <c r="AS66" s="212"/>
      <c r="AT66" s="212">
        <v>0.15</v>
      </c>
      <c r="AU66" s="108"/>
      <c r="AV66" s="212"/>
      <c r="AX66" s="212">
        <v>0.3</v>
      </c>
      <c r="AZ66" s="83" t="s">
        <v>850</v>
      </c>
      <c r="BA66" s="260" t="s">
        <v>437</v>
      </c>
      <c r="BB66" s="83"/>
      <c r="BD66" s="542">
        <v>0.1</v>
      </c>
      <c r="BE66" s="541">
        <f t="shared" si="4"/>
        <v>0.1</v>
      </c>
      <c r="BJ66" s="72">
        <f t="shared" si="5"/>
        <v>0</v>
      </c>
      <c r="BK66" s="72" t="e">
        <f t="shared" si="12"/>
        <v>#DIV/0!</v>
      </c>
      <c r="BL66" s="107" t="e">
        <f t="shared" si="2"/>
        <v>#DIV/0!</v>
      </c>
      <c r="BM66" s="579">
        <f t="shared" si="7"/>
        <v>0</v>
      </c>
      <c r="BN66" s="72">
        <f t="shared" si="8"/>
        <v>0</v>
      </c>
      <c r="BO66" s="72" t="e">
        <f t="shared" si="9"/>
        <v>#DIV/0!</v>
      </c>
      <c r="BP66" s="107" t="e">
        <f t="shared" si="3"/>
        <v>#DIV/0!</v>
      </c>
    </row>
    <row r="67" spans="1:68" s="189" customFormat="1" ht="51">
      <c r="A67" s="185">
        <v>82</v>
      </c>
      <c r="B67" s="184">
        <v>65</v>
      </c>
      <c r="C67" s="184" t="s">
        <v>1116</v>
      </c>
      <c r="D67" s="184" t="s">
        <v>779</v>
      </c>
      <c r="E67" s="186">
        <v>275000</v>
      </c>
      <c r="F67" s="186">
        <v>225000</v>
      </c>
      <c r="G67" s="186">
        <f aca="true" t="shared" si="13" ref="G67:G87">E67-F67</f>
        <v>50000</v>
      </c>
      <c r="H67" s="231">
        <f aca="true" t="shared" si="14" ref="H67:H89">G67/E67</f>
        <v>0.18181818181818182</v>
      </c>
      <c r="I67" s="188" t="s">
        <v>851</v>
      </c>
      <c r="J67" s="189" t="s">
        <v>1119</v>
      </c>
      <c r="N67" s="189">
        <v>3</v>
      </c>
      <c r="O67" s="190">
        <v>6</v>
      </c>
      <c r="P67" s="190">
        <v>1</v>
      </c>
      <c r="R67" s="191"/>
      <c r="S67" s="192"/>
      <c r="T67" s="193" t="s">
        <v>425</v>
      </c>
      <c r="U67" s="194" t="s">
        <v>549</v>
      </c>
      <c r="V67" s="195">
        <v>100</v>
      </c>
      <c r="W67" s="196">
        <v>5</v>
      </c>
      <c r="X67" s="111">
        <f>'fert +pest rates'!D67</f>
        <v>150</v>
      </c>
      <c r="Y67" s="5">
        <f>'fert +pest rates'!I67</f>
        <v>250</v>
      </c>
      <c r="Z67" s="166">
        <f>'fert +pest rates'!N67</f>
        <v>0</v>
      </c>
      <c r="AA67" s="166">
        <f>'fert +pest rates'!O67</f>
        <v>0</v>
      </c>
      <c r="AB67" s="5">
        <f t="shared" si="10"/>
        <v>0</v>
      </c>
      <c r="AC67" s="5">
        <f t="shared" si="11"/>
        <v>0</v>
      </c>
      <c r="AD67" s="197">
        <v>45</v>
      </c>
      <c r="AE67" s="428" t="str">
        <f>'fert +pest rates'!Q67</f>
        <v>3kg/ha Atrazine, 1kg/ha Diuron,    1L/ha 2-4-D</v>
      </c>
      <c r="AF67" s="197">
        <v>3</v>
      </c>
      <c r="AG67" s="197">
        <v>1</v>
      </c>
      <c r="AH67" s="197">
        <v>1</v>
      </c>
      <c r="AI67" s="197"/>
      <c r="AJ67" s="197"/>
      <c r="AK67" s="415">
        <f>'fert +pest rates'!S67</f>
        <v>0</v>
      </c>
      <c r="AL67" s="197"/>
      <c r="AM67" s="197"/>
      <c r="AN67" s="197"/>
      <c r="AO67" s="419"/>
      <c r="AP67" s="197"/>
      <c r="AQ67" s="197"/>
      <c r="AR67" s="197"/>
      <c r="AS67" s="197"/>
      <c r="AT67" s="197">
        <v>0.15</v>
      </c>
      <c r="AU67" s="108"/>
      <c r="AV67" s="197"/>
      <c r="AX67" s="197">
        <v>0.3</v>
      </c>
      <c r="AZ67" s="188" t="s">
        <v>851</v>
      </c>
      <c r="BA67" s="193" t="s">
        <v>425</v>
      </c>
      <c r="BB67" s="188"/>
      <c r="BD67" s="540">
        <v>0.5</v>
      </c>
      <c r="BE67" s="541">
        <f t="shared" si="4"/>
        <v>0.5</v>
      </c>
      <c r="BJ67" s="72">
        <f t="shared" si="5"/>
        <v>0</v>
      </c>
      <c r="BK67" s="72" t="e">
        <f t="shared" si="12"/>
        <v>#DIV/0!</v>
      </c>
      <c r="BL67" s="107" t="e">
        <f aca="true" t="shared" si="15" ref="BL67:BL88">IF(BK67&gt;500,0.8,LN(BK67)/10)</f>
        <v>#DIV/0!</v>
      </c>
      <c r="BM67" s="579">
        <f t="shared" si="7"/>
        <v>0</v>
      </c>
      <c r="BN67" s="72">
        <f t="shared" si="8"/>
        <v>0</v>
      </c>
      <c r="BO67" s="72" t="e">
        <f t="shared" si="9"/>
        <v>#DIV/0!</v>
      </c>
      <c r="BP67" s="107" t="e">
        <f aca="true" t="shared" si="16" ref="BP67:BP88">IF(BO67&gt;500,0.8,LN(BO67)/10)</f>
        <v>#DIV/0!</v>
      </c>
    </row>
    <row r="68" spans="1:68" s="5" customFormat="1" ht="51">
      <c r="A68" s="164" t="s">
        <v>806</v>
      </c>
      <c r="B68" s="163">
        <v>66</v>
      </c>
      <c r="C68" s="163" t="s">
        <v>1116</v>
      </c>
      <c r="D68" s="163" t="s">
        <v>779</v>
      </c>
      <c r="E68" s="165">
        <v>62698</v>
      </c>
      <c r="F68" s="165">
        <v>21250</v>
      </c>
      <c r="G68" s="165">
        <f t="shared" si="13"/>
        <v>41448</v>
      </c>
      <c r="H68" s="172">
        <f t="shared" si="14"/>
        <v>0.661073718459919</v>
      </c>
      <c r="I68" s="166" t="s">
        <v>823</v>
      </c>
      <c r="J68" s="5" t="s">
        <v>1119</v>
      </c>
      <c r="K68" s="5" t="s">
        <v>837</v>
      </c>
      <c r="N68" s="5">
        <v>3</v>
      </c>
      <c r="O68" s="167">
        <v>5</v>
      </c>
      <c r="P68" s="167">
        <v>0</v>
      </c>
      <c r="R68" s="111">
        <v>65</v>
      </c>
      <c r="S68" s="78">
        <v>3</v>
      </c>
      <c r="T68" s="168"/>
      <c r="U68" s="175" t="s">
        <v>473</v>
      </c>
      <c r="V68" s="176">
        <v>25</v>
      </c>
      <c r="W68" s="170">
        <v>1.25</v>
      </c>
      <c r="X68" s="111">
        <f>'fert +pest rates'!D68</f>
        <v>142.025</v>
      </c>
      <c r="Y68" s="5">
        <f>'fert +pest rates'!I68</f>
        <v>170.43</v>
      </c>
      <c r="Z68" s="166">
        <f>'fert +pest rates'!N68</f>
        <v>0</v>
      </c>
      <c r="AA68" s="166">
        <f>'fert +pest rates'!O68</f>
        <v>0</v>
      </c>
      <c r="AB68" s="5">
        <f aca="true" t="shared" si="17" ref="AB68:AB87">Z68</f>
        <v>0</v>
      </c>
      <c r="AC68" s="5">
        <f aca="true" t="shared" si="18" ref="AC68:AC87">AA68</f>
        <v>0</v>
      </c>
      <c r="AD68" s="5">
        <v>56</v>
      </c>
      <c r="AE68" s="431" t="str">
        <f>'fert +pest rates'!Q68</f>
        <v>250g Diurex/ha as a spike and kg atradex per ha</v>
      </c>
      <c r="AK68" s="415" t="str">
        <f>'fert +pest rates'!S68</f>
        <v>Reduced N and reduced pesticides moving into the ocean</v>
      </c>
      <c r="AO68" s="78"/>
      <c r="AT68" s="108">
        <v>0.15</v>
      </c>
      <c r="AU68" s="108"/>
      <c r="AV68" s="108"/>
      <c r="AX68" s="108">
        <v>0.3</v>
      </c>
      <c r="AZ68" s="166" t="s">
        <v>823</v>
      </c>
      <c r="BA68" s="168" t="s">
        <v>181</v>
      </c>
      <c r="BB68" s="166"/>
      <c r="BD68" s="541">
        <f>'Recycle pits'!AP46</f>
        <v>0.19845564390369647</v>
      </c>
      <c r="BE68" s="541">
        <f aca="true" t="shared" si="19" ref="BE68:BE89">BD68</f>
        <v>0.19845564390369647</v>
      </c>
      <c r="BH68" s="5">
        <v>65</v>
      </c>
      <c r="BI68" s="5">
        <v>3</v>
      </c>
      <c r="BJ68" s="72">
        <f aca="true" t="shared" si="20" ref="BJ68:BJ88">BH68*0.015*10000/1000</f>
        <v>9.75</v>
      </c>
      <c r="BK68" s="72">
        <f t="shared" si="12"/>
        <v>0</v>
      </c>
      <c r="BL68" s="107" t="e">
        <f t="shared" si="15"/>
        <v>#NUM!</v>
      </c>
      <c r="BM68" s="579">
        <f aca="true" t="shared" si="21" ref="BM68:BM88">S68</f>
        <v>3</v>
      </c>
      <c r="BN68" s="72">
        <f aca="true" t="shared" si="22" ref="BN68:BN88">BH68*0.015*10000/1000</f>
        <v>9.75</v>
      </c>
      <c r="BO68" s="72">
        <f aca="true" t="shared" si="23" ref="BO68:BO88">BM68/BN68*100</f>
        <v>30.76923076923077</v>
      </c>
      <c r="BP68" s="107">
        <f t="shared" si="16"/>
        <v>0.3426515189646445</v>
      </c>
    </row>
    <row r="69" spans="1:68" s="5" customFormat="1" ht="51">
      <c r="A69" s="164" t="s">
        <v>807</v>
      </c>
      <c r="B69" s="163">
        <v>67</v>
      </c>
      <c r="C69" s="163" t="s">
        <v>1116</v>
      </c>
      <c r="D69" s="163" t="s">
        <v>779</v>
      </c>
      <c r="E69" s="165">
        <v>77440</v>
      </c>
      <c r="F69" s="165">
        <v>40000</v>
      </c>
      <c r="G69" s="165">
        <f t="shared" si="13"/>
        <v>37440</v>
      </c>
      <c r="H69" s="172">
        <f t="shared" si="14"/>
        <v>0.4834710743801653</v>
      </c>
      <c r="I69" s="166" t="s">
        <v>823</v>
      </c>
      <c r="J69" s="5" t="s">
        <v>1119</v>
      </c>
      <c r="K69" s="5" t="s">
        <v>837</v>
      </c>
      <c r="N69" s="5">
        <v>3</v>
      </c>
      <c r="O69" s="167">
        <v>5</v>
      </c>
      <c r="P69" s="167">
        <v>0</v>
      </c>
      <c r="R69" s="111">
        <v>23</v>
      </c>
      <c r="S69" s="78">
        <v>1.38</v>
      </c>
      <c r="T69" s="168"/>
      <c r="U69" s="175" t="s">
        <v>473</v>
      </c>
      <c r="V69" s="176">
        <v>25</v>
      </c>
      <c r="W69" s="170">
        <v>1.25</v>
      </c>
      <c r="X69" s="111">
        <f>'fert +pest rates'!D69</f>
        <v>142.025</v>
      </c>
      <c r="Y69" s="5">
        <f>'fert +pest rates'!I69</f>
        <v>170.43</v>
      </c>
      <c r="Z69" s="166">
        <f>'fert +pest rates'!N69</f>
        <v>0</v>
      </c>
      <c r="AA69" s="166">
        <f>'fert +pest rates'!O69</f>
        <v>0</v>
      </c>
      <c r="AB69" s="5">
        <f t="shared" si="17"/>
        <v>0</v>
      </c>
      <c r="AC69" s="5">
        <f t="shared" si="18"/>
        <v>0</v>
      </c>
      <c r="AD69" s="5">
        <v>56</v>
      </c>
      <c r="AE69" s="431" t="str">
        <f>'fert +pest rates'!Q69</f>
        <v>250g Diurex /ha as a spike, 1kg atradex per ha</v>
      </c>
      <c r="AK69" s="415" t="str">
        <f>'fert +pest rates'!S69</f>
        <v>legumes to be reduced; effective water control into waterways</v>
      </c>
      <c r="AO69" s="78"/>
      <c r="AT69" s="108">
        <v>0.15</v>
      </c>
      <c r="AU69" s="108"/>
      <c r="AV69" s="108"/>
      <c r="AX69" s="108">
        <v>0.3</v>
      </c>
      <c r="AZ69" s="166" t="s">
        <v>823</v>
      </c>
      <c r="BA69" s="168" t="s">
        <v>181</v>
      </c>
      <c r="BB69" s="166"/>
      <c r="BD69" s="541">
        <f>'Recycle pits'!AP47</f>
        <v>0.22627424815122027</v>
      </c>
      <c r="BE69" s="541">
        <f t="shared" si="19"/>
        <v>0.22627424815122027</v>
      </c>
      <c r="BH69" s="5">
        <v>23</v>
      </c>
      <c r="BI69" s="5">
        <v>1.38</v>
      </c>
      <c r="BJ69" s="72">
        <f t="shared" si="20"/>
        <v>3.4499999999999997</v>
      </c>
      <c r="BK69" s="72">
        <f t="shared" si="12"/>
        <v>0</v>
      </c>
      <c r="BL69" s="107" t="e">
        <f t="shared" si="15"/>
        <v>#NUM!</v>
      </c>
      <c r="BM69" s="579">
        <f t="shared" si="21"/>
        <v>1.38</v>
      </c>
      <c r="BN69" s="72">
        <f t="shared" si="22"/>
        <v>3.4499999999999997</v>
      </c>
      <c r="BO69" s="72">
        <f t="shared" si="23"/>
        <v>40</v>
      </c>
      <c r="BP69" s="107">
        <f t="shared" si="16"/>
        <v>0.36888794541139364</v>
      </c>
    </row>
    <row r="70" spans="1:68" s="5" customFormat="1" ht="25.5">
      <c r="A70" s="164">
        <v>87</v>
      </c>
      <c r="B70" s="163">
        <v>68</v>
      </c>
      <c r="C70" s="163" t="s">
        <v>1116</v>
      </c>
      <c r="D70" s="163" t="s">
        <v>779</v>
      </c>
      <c r="E70" s="165">
        <v>20000</v>
      </c>
      <c r="F70" s="165">
        <v>10000</v>
      </c>
      <c r="G70" s="165">
        <f t="shared" si="13"/>
        <v>10000</v>
      </c>
      <c r="H70" s="110">
        <f t="shared" si="14"/>
        <v>0.5</v>
      </c>
      <c r="I70" s="166" t="s">
        <v>823</v>
      </c>
      <c r="J70" s="5" t="s">
        <v>1119</v>
      </c>
      <c r="N70" s="5">
        <v>3</v>
      </c>
      <c r="O70" s="167">
        <v>5</v>
      </c>
      <c r="P70" s="167">
        <v>0</v>
      </c>
      <c r="R70" s="111">
        <v>142</v>
      </c>
      <c r="S70" s="78">
        <v>4.68</v>
      </c>
      <c r="T70" s="168"/>
      <c r="U70" s="175"/>
      <c r="V70" s="176"/>
      <c r="W70" s="170">
        <v>0</v>
      </c>
      <c r="X70" s="111">
        <f>'fert +pest rates'!D70</f>
        <v>142.025</v>
      </c>
      <c r="Y70" s="5">
        <f>'fert +pest rates'!I70</f>
        <v>92.5</v>
      </c>
      <c r="Z70" s="166">
        <f>'fert +pest rates'!N70</f>
        <v>0</v>
      </c>
      <c r="AA70" s="166">
        <f>'fert +pest rates'!O70</f>
        <v>0</v>
      </c>
      <c r="AB70" s="5">
        <f t="shared" si="17"/>
        <v>0</v>
      </c>
      <c r="AC70" s="5">
        <f t="shared" si="18"/>
        <v>0</v>
      </c>
      <c r="AD70" s="5">
        <v>89</v>
      </c>
      <c r="AE70" s="428" t="str">
        <f>'fert +pest rates'!Q70</f>
        <v>Diuron .25kg/ha;       2-4-D 1L/ha</v>
      </c>
      <c r="AG70" s="5">
        <v>0.25</v>
      </c>
      <c r="AH70" s="5">
        <v>1</v>
      </c>
      <c r="AK70" s="415">
        <f>'fert +pest rates'!S70</f>
        <v>0</v>
      </c>
      <c r="AO70" s="78"/>
      <c r="AT70" s="108">
        <v>0.15</v>
      </c>
      <c r="AU70" s="108"/>
      <c r="AV70" s="108"/>
      <c r="AX70" s="108">
        <v>0.3</v>
      </c>
      <c r="AZ70" s="166" t="s">
        <v>823</v>
      </c>
      <c r="BA70" s="168" t="s">
        <v>181</v>
      </c>
      <c r="BB70" s="166"/>
      <c r="BD70" s="541">
        <f>'Recycle pits'!AP48</f>
        <v>0.16770200682782205</v>
      </c>
      <c r="BE70" s="541">
        <f t="shared" si="19"/>
        <v>0.16770200682782205</v>
      </c>
      <c r="BH70" s="5">
        <v>142</v>
      </c>
      <c r="BI70" s="5">
        <v>4.68</v>
      </c>
      <c r="BJ70" s="72">
        <f t="shared" si="20"/>
        <v>21.3</v>
      </c>
      <c r="BK70" s="72">
        <f t="shared" si="12"/>
        <v>0</v>
      </c>
      <c r="BL70" s="107" t="e">
        <f t="shared" si="15"/>
        <v>#NUM!</v>
      </c>
      <c r="BM70" s="579">
        <f t="shared" si="21"/>
        <v>4.68</v>
      </c>
      <c r="BN70" s="72">
        <f t="shared" si="22"/>
        <v>21.3</v>
      </c>
      <c r="BO70" s="72">
        <f t="shared" si="23"/>
        <v>21.971830985915492</v>
      </c>
      <c r="BP70" s="107">
        <f t="shared" si="16"/>
        <v>0.3089761223202267</v>
      </c>
    </row>
    <row r="71" spans="1:68" s="199" customFormat="1" ht="37.5" customHeight="1">
      <c r="A71" s="202">
        <v>88</v>
      </c>
      <c r="B71" s="201">
        <v>69</v>
      </c>
      <c r="C71" s="201" t="s">
        <v>1116</v>
      </c>
      <c r="D71" s="201" t="s">
        <v>779</v>
      </c>
      <c r="E71" s="203">
        <v>25000</v>
      </c>
      <c r="F71" s="203">
        <v>5000</v>
      </c>
      <c r="G71" s="203">
        <f t="shared" si="13"/>
        <v>20000</v>
      </c>
      <c r="H71" s="204">
        <f t="shared" si="14"/>
        <v>0.8</v>
      </c>
      <c r="I71" s="83" t="s">
        <v>852</v>
      </c>
      <c r="J71" s="836" t="s">
        <v>1119</v>
      </c>
      <c r="N71" s="199">
        <v>3</v>
      </c>
      <c r="O71" s="205">
        <v>5</v>
      </c>
      <c r="P71" s="205">
        <v>1</v>
      </c>
      <c r="R71" s="206"/>
      <c r="S71" s="207"/>
      <c r="T71" s="208" t="s">
        <v>550</v>
      </c>
      <c r="U71" s="209" t="s">
        <v>551</v>
      </c>
      <c r="V71" s="210">
        <v>50</v>
      </c>
      <c r="W71" s="211">
        <v>2.5</v>
      </c>
      <c r="X71" s="111">
        <f>'fert +pest rates'!D71</f>
        <v>198.835</v>
      </c>
      <c r="Y71" s="5">
        <f>'fert +pest rates'!I71</f>
        <v>220.1</v>
      </c>
      <c r="Z71" s="166">
        <f>0.75*X71</f>
        <v>149.12625</v>
      </c>
      <c r="AA71" s="166">
        <f>0.75*Y71</f>
        <v>165.075</v>
      </c>
      <c r="AB71" s="5">
        <f t="shared" si="17"/>
        <v>149.12625</v>
      </c>
      <c r="AC71" s="5">
        <f t="shared" si="18"/>
        <v>165.075</v>
      </c>
      <c r="AD71" s="199">
        <v>132</v>
      </c>
      <c r="AE71" s="428">
        <f>'fert +pest rates'!Q71</f>
        <v>0</v>
      </c>
      <c r="AK71" s="415">
        <f>'fert +pest rates'!S71</f>
        <v>0</v>
      </c>
      <c r="AO71" s="207"/>
      <c r="AT71" s="212">
        <v>0.15</v>
      </c>
      <c r="AU71" s="108"/>
      <c r="AV71" s="212"/>
      <c r="AX71" s="212">
        <v>0.3</v>
      </c>
      <c r="AZ71" s="83" t="s">
        <v>852</v>
      </c>
      <c r="BA71" s="208" t="s">
        <v>550</v>
      </c>
      <c r="BB71" s="83"/>
      <c r="BD71" s="542">
        <v>0.15</v>
      </c>
      <c r="BE71" s="541">
        <f t="shared" si="19"/>
        <v>0.15</v>
      </c>
      <c r="BJ71" s="72">
        <f t="shared" si="20"/>
        <v>0</v>
      </c>
      <c r="BK71" s="72" t="e">
        <f t="shared" si="12"/>
        <v>#DIV/0!</v>
      </c>
      <c r="BL71" s="107" t="e">
        <f t="shared" si="15"/>
        <v>#DIV/0!</v>
      </c>
      <c r="BM71" s="579">
        <f t="shared" si="21"/>
        <v>0</v>
      </c>
      <c r="BN71" s="72">
        <f t="shared" si="22"/>
        <v>0</v>
      </c>
      <c r="BO71" s="72" t="e">
        <f t="shared" si="23"/>
        <v>#DIV/0!</v>
      </c>
      <c r="BP71" s="107" t="e">
        <f t="shared" si="16"/>
        <v>#DIV/0!</v>
      </c>
    </row>
    <row r="72" spans="1:68" s="5" customFormat="1" ht="38.25">
      <c r="A72" s="164">
        <v>89</v>
      </c>
      <c r="B72" s="163">
        <v>70</v>
      </c>
      <c r="C72" s="163" t="s">
        <v>1116</v>
      </c>
      <c r="D72" s="163" t="s">
        <v>779</v>
      </c>
      <c r="E72" s="165">
        <v>55000</v>
      </c>
      <c r="F72" s="165">
        <v>5000</v>
      </c>
      <c r="G72" s="165">
        <f t="shared" si="13"/>
        <v>50000</v>
      </c>
      <c r="H72" s="110">
        <f t="shared" si="14"/>
        <v>0.9090909090909091</v>
      </c>
      <c r="I72" s="166" t="s">
        <v>823</v>
      </c>
      <c r="J72" s="835" t="s">
        <v>1119</v>
      </c>
      <c r="N72" s="5">
        <v>3</v>
      </c>
      <c r="O72" s="167">
        <v>5</v>
      </c>
      <c r="P72" s="167">
        <v>0.5</v>
      </c>
      <c r="R72" s="111">
        <v>134</v>
      </c>
      <c r="S72" s="78">
        <v>2</v>
      </c>
      <c r="T72" s="168"/>
      <c r="U72" s="175"/>
      <c r="V72" s="176"/>
      <c r="W72" s="170">
        <v>0</v>
      </c>
      <c r="X72" s="111">
        <f>'fert +pest rates'!D72</f>
        <v>212.91400000000002</v>
      </c>
      <c r="Y72" s="5">
        <f>'fert +pest rates'!I72</f>
        <v>226.93125</v>
      </c>
      <c r="Z72" s="166">
        <f>'fert +pest rates'!N72</f>
        <v>0</v>
      </c>
      <c r="AA72" s="166">
        <f>'fert +pest rates'!O72</f>
        <v>0</v>
      </c>
      <c r="AB72" s="5">
        <f t="shared" si="17"/>
        <v>0</v>
      </c>
      <c r="AC72" s="5">
        <f t="shared" si="18"/>
        <v>0</v>
      </c>
      <c r="AD72" s="5">
        <v>113</v>
      </c>
      <c r="AE72" s="428" t="str">
        <f>'fert +pest rates'!Q72</f>
        <v>.25kg/ha Atrazine, .25kg/ha Diuron,    1L/ha 2-4-D</v>
      </c>
      <c r="AF72" s="5">
        <v>0.25</v>
      </c>
      <c r="AG72" s="5">
        <v>0.25</v>
      </c>
      <c r="AH72" s="5">
        <v>1</v>
      </c>
      <c r="AK72" s="415">
        <f>'fert +pest rates'!S72</f>
        <v>0</v>
      </c>
      <c r="AO72" s="78"/>
      <c r="AT72" s="108">
        <v>0.15</v>
      </c>
      <c r="AU72" s="108"/>
      <c r="AV72" s="108"/>
      <c r="AX72" s="108">
        <v>0.3</v>
      </c>
      <c r="AZ72" s="166" t="s">
        <v>823</v>
      </c>
      <c r="BA72" s="168" t="s">
        <v>181</v>
      </c>
      <c r="BB72" s="166"/>
      <c r="BD72" s="541">
        <f>'Recycle pits'!AP49</f>
        <v>0.11285533752578875</v>
      </c>
      <c r="BE72" s="541">
        <f t="shared" si="19"/>
        <v>0.11285533752578875</v>
      </c>
      <c r="BH72" s="5">
        <v>134</v>
      </c>
      <c r="BI72" s="5">
        <v>2</v>
      </c>
      <c r="BJ72" s="72">
        <f t="shared" si="20"/>
        <v>20.099999999999998</v>
      </c>
      <c r="BK72" s="72">
        <f t="shared" si="12"/>
        <v>0</v>
      </c>
      <c r="BL72" s="107" t="e">
        <f t="shared" si="15"/>
        <v>#NUM!</v>
      </c>
      <c r="BM72" s="579">
        <f t="shared" si="21"/>
        <v>2</v>
      </c>
      <c r="BN72" s="72">
        <f t="shared" si="22"/>
        <v>20.099999999999998</v>
      </c>
      <c r="BO72" s="72">
        <f t="shared" si="23"/>
        <v>9.950248756218906</v>
      </c>
      <c r="BP72" s="107">
        <f t="shared" si="16"/>
        <v>0.22975975514830066</v>
      </c>
    </row>
    <row r="73" spans="1:68" s="76" customFormat="1" ht="38.25">
      <c r="A73" s="233">
        <v>90</v>
      </c>
      <c r="B73" s="232">
        <v>71</v>
      </c>
      <c r="C73" s="232" t="s">
        <v>1116</v>
      </c>
      <c r="D73" s="232" t="s">
        <v>780</v>
      </c>
      <c r="E73" s="234">
        <v>27722</v>
      </c>
      <c r="F73" s="234">
        <v>17488</v>
      </c>
      <c r="G73" s="234">
        <f t="shared" si="13"/>
        <v>10234</v>
      </c>
      <c r="H73" s="235">
        <f t="shared" si="14"/>
        <v>0.3691652838900512</v>
      </c>
      <c r="I73" s="236" t="s">
        <v>1092</v>
      </c>
      <c r="J73" s="837" t="s">
        <v>1119</v>
      </c>
      <c r="N73" s="76">
        <v>3</v>
      </c>
      <c r="O73" s="237">
        <v>5</v>
      </c>
      <c r="P73" s="237">
        <v>0</v>
      </c>
      <c r="R73" s="77"/>
      <c r="S73" s="132"/>
      <c r="T73" s="238"/>
      <c r="U73" s="239" t="s">
        <v>472</v>
      </c>
      <c r="V73" s="240">
        <v>50</v>
      </c>
      <c r="W73" s="241">
        <v>2.5</v>
      </c>
      <c r="X73" s="111" t="str">
        <f>'fert +pest rates'!D73</f>
        <v> </v>
      </c>
      <c r="Y73" s="5">
        <f>'fert +pest rates'!I73</f>
        <v>0</v>
      </c>
      <c r="Z73" s="166">
        <f>'fert +pest rates'!N73</f>
        <v>0</v>
      </c>
      <c r="AA73" s="166">
        <f>'fert +pest rates'!O73</f>
        <v>0</v>
      </c>
      <c r="AB73" s="5">
        <f t="shared" si="17"/>
        <v>0</v>
      </c>
      <c r="AC73" s="5">
        <f t="shared" si="18"/>
        <v>0</v>
      </c>
      <c r="AE73" s="428">
        <f>'fert +pest rates'!Q73</f>
        <v>0</v>
      </c>
      <c r="AK73" s="415">
        <f>'fert +pest rates'!S73</f>
        <v>0</v>
      </c>
      <c r="AO73" s="132"/>
      <c r="AT73" s="242">
        <v>0.15</v>
      </c>
      <c r="AU73" s="108"/>
      <c r="AV73" s="242"/>
      <c r="AX73" s="242">
        <v>0.3</v>
      </c>
      <c r="AZ73" s="236" t="s">
        <v>1092</v>
      </c>
      <c r="BA73" s="238"/>
      <c r="BB73" s="236"/>
      <c r="BD73" s="546"/>
      <c r="BE73" s="541">
        <f t="shared" si="19"/>
        <v>0</v>
      </c>
      <c r="BJ73" s="72">
        <f t="shared" si="20"/>
        <v>0</v>
      </c>
      <c r="BK73" s="72" t="e">
        <f t="shared" si="12"/>
        <v>#DIV/0!</v>
      </c>
      <c r="BL73" s="107" t="e">
        <f t="shared" si="15"/>
        <v>#DIV/0!</v>
      </c>
      <c r="BM73" s="579">
        <f t="shared" si="21"/>
        <v>0</v>
      </c>
      <c r="BN73" s="72">
        <f t="shared" si="22"/>
        <v>0</v>
      </c>
      <c r="BO73" s="72" t="e">
        <f t="shared" si="23"/>
        <v>#DIV/0!</v>
      </c>
      <c r="BP73" s="107" t="e">
        <f t="shared" si="16"/>
        <v>#DIV/0!</v>
      </c>
    </row>
    <row r="74" spans="1:68" s="76" customFormat="1" ht="12.75">
      <c r="A74" s="233">
        <v>91</v>
      </c>
      <c r="B74" s="232">
        <v>72</v>
      </c>
      <c r="C74" s="232" t="s">
        <v>1116</v>
      </c>
      <c r="D74" s="232" t="s">
        <v>780</v>
      </c>
      <c r="E74" s="234">
        <v>30000</v>
      </c>
      <c r="F74" s="234">
        <v>15200</v>
      </c>
      <c r="G74" s="234">
        <f t="shared" si="13"/>
        <v>14800</v>
      </c>
      <c r="H74" s="235">
        <f t="shared" si="14"/>
        <v>0.49333333333333335</v>
      </c>
      <c r="I74" s="236"/>
      <c r="J74" s="837" t="s">
        <v>1119</v>
      </c>
      <c r="N74" s="76">
        <v>3</v>
      </c>
      <c r="O74" s="237">
        <v>5</v>
      </c>
      <c r="P74" s="237">
        <v>0</v>
      </c>
      <c r="R74" s="77"/>
      <c r="S74" s="132"/>
      <c r="T74" s="238"/>
      <c r="V74" s="262"/>
      <c r="W74" s="241">
        <v>0</v>
      </c>
      <c r="X74" s="111">
        <f>'fert +pest rates'!D74</f>
        <v>0</v>
      </c>
      <c r="Y74" s="5">
        <f>'fert +pest rates'!I74</f>
        <v>0</v>
      </c>
      <c r="Z74" s="166">
        <f>'fert +pest rates'!N74</f>
        <v>0</v>
      </c>
      <c r="AA74" s="166">
        <f>'fert +pest rates'!O74</f>
        <v>0</v>
      </c>
      <c r="AB74" s="5">
        <f t="shared" si="17"/>
        <v>0</v>
      </c>
      <c r="AC74" s="5">
        <f t="shared" si="18"/>
        <v>0</v>
      </c>
      <c r="AE74" s="428">
        <f>'fert +pest rates'!Q74</f>
        <v>0</v>
      </c>
      <c r="AK74" s="415">
        <f>'fert +pest rates'!S74</f>
        <v>0</v>
      </c>
      <c r="AO74" s="132"/>
      <c r="AT74" s="242">
        <v>0.15</v>
      </c>
      <c r="AU74" s="108"/>
      <c r="AV74" s="242"/>
      <c r="AX74" s="242">
        <v>0.3</v>
      </c>
      <c r="AZ74" s="236"/>
      <c r="BA74" s="238"/>
      <c r="BB74" s="236"/>
      <c r="BD74" s="546"/>
      <c r="BE74" s="541">
        <f t="shared" si="19"/>
        <v>0</v>
      </c>
      <c r="BJ74" s="72">
        <f t="shared" si="20"/>
        <v>0</v>
      </c>
      <c r="BK74" s="72" t="e">
        <f t="shared" si="12"/>
        <v>#DIV/0!</v>
      </c>
      <c r="BL74" s="107" t="e">
        <f t="shared" si="15"/>
        <v>#DIV/0!</v>
      </c>
      <c r="BM74" s="579">
        <f t="shared" si="21"/>
        <v>0</v>
      </c>
      <c r="BN74" s="72">
        <f t="shared" si="22"/>
        <v>0</v>
      </c>
      <c r="BO74" s="72" t="e">
        <f t="shared" si="23"/>
        <v>#DIV/0!</v>
      </c>
      <c r="BP74" s="107" t="e">
        <f t="shared" si="16"/>
        <v>#DIV/0!</v>
      </c>
    </row>
    <row r="75" spans="1:68" s="76" customFormat="1" ht="25.5">
      <c r="A75" s="233">
        <v>92</v>
      </c>
      <c r="B75" s="232">
        <v>73</v>
      </c>
      <c r="C75" s="232" t="s">
        <v>1116</v>
      </c>
      <c r="D75" s="232" t="s">
        <v>780</v>
      </c>
      <c r="E75" s="234">
        <v>70000</v>
      </c>
      <c r="F75" s="234">
        <v>20000</v>
      </c>
      <c r="G75" s="234">
        <f t="shared" si="13"/>
        <v>50000</v>
      </c>
      <c r="H75" s="243">
        <f t="shared" si="14"/>
        <v>0.7142857142857143</v>
      </c>
      <c r="I75" s="236" t="s">
        <v>1093</v>
      </c>
      <c r="J75" s="837" t="s">
        <v>1119</v>
      </c>
      <c r="N75" s="76">
        <v>3</v>
      </c>
      <c r="O75" s="237">
        <v>5</v>
      </c>
      <c r="P75" s="237">
        <v>0</v>
      </c>
      <c r="R75" s="77"/>
      <c r="S75" s="132"/>
      <c r="T75" s="238"/>
      <c r="U75" s="239" t="s">
        <v>504</v>
      </c>
      <c r="V75" s="262"/>
      <c r="W75" s="241"/>
      <c r="X75" s="111">
        <f>'fert +pest rates'!D75</f>
        <v>0</v>
      </c>
      <c r="Y75" s="5">
        <f>'fert +pest rates'!I75</f>
        <v>0</v>
      </c>
      <c r="Z75" s="166">
        <f>'fert +pest rates'!N75</f>
        <v>0</v>
      </c>
      <c r="AA75" s="166">
        <f>'fert +pest rates'!O75</f>
        <v>0</v>
      </c>
      <c r="AB75" s="5">
        <f t="shared" si="17"/>
        <v>0</v>
      </c>
      <c r="AC75" s="5">
        <f t="shared" si="18"/>
        <v>0</v>
      </c>
      <c r="AE75" s="428">
        <f>'fert +pest rates'!Q75</f>
        <v>0</v>
      </c>
      <c r="AK75" s="415">
        <f>'fert +pest rates'!S75</f>
        <v>0</v>
      </c>
      <c r="AO75" s="132"/>
      <c r="AT75" s="242">
        <v>0.15</v>
      </c>
      <c r="AU75" s="108"/>
      <c r="AV75" s="242"/>
      <c r="AX75" s="242">
        <v>0.3</v>
      </c>
      <c r="AZ75" s="236" t="s">
        <v>1093</v>
      </c>
      <c r="BA75" s="238"/>
      <c r="BB75" s="236"/>
      <c r="BD75" s="546"/>
      <c r="BE75" s="541">
        <f t="shared" si="19"/>
        <v>0</v>
      </c>
      <c r="BJ75" s="72">
        <f t="shared" si="20"/>
        <v>0</v>
      </c>
      <c r="BK75" s="72" t="e">
        <f t="shared" si="12"/>
        <v>#DIV/0!</v>
      </c>
      <c r="BL75" s="107" t="e">
        <f t="shared" si="15"/>
        <v>#DIV/0!</v>
      </c>
      <c r="BM75" s="579">
        <f t="shared" si="21"/>
        <v>0</v>
      </c>
      <c r="BN75" s="72">
        <f t="shared" si="22"/>
        <v>0</v>
      </c>
      <c r="BO75" s="72" t="e">
        <f t="shared" si="23"/>
        <v>#DIV/0!</v>
      </c>
      <c r="BP75" s="107" t="e">
        <f t="shared" si="16"/>
        <v>#DIV/0!</v>
      </c>
    </row>
    <row r="76" spans="1:68" s="76" customFormat="1" ht="25.5">
      <c r="A76" s="233">
        <v>93</v>
      </c>
      <c r="B76" s="232">
        <v>74</v>
      </c>
      <c r="C76" s="232" t="s">
        <v>1116</v>
      </c>
      <c r="D76" s="232" t="s">
        <v>780</v>
      </c>
      <c r="E76" s="234">
        <v>78917.45</v>
      </c>
      <c r="F76" s="234">
        <v>0</v>
      </c>
      <c r="G76" s="234">
        <f t="shared" si="13"/>
        <v>78917.45</v>
      </c>
      <c r="H76" s="243">
        <f t="shared" si="14"/>
        <v>1</v>
      </c>
      <c r="I76" s="236" t="s">
        <v>62</v>
      </c>
      <c r="J76" s="837" t="s">
        <v>1120</v>
      </c>
      <c r="N76" s="76">
        <v>3</v>
      </c>
      <c r="O76" s="237">
        <v>5</v>
      </c>
      <c r="P76" s="237">
        <v>0</v>
      </c>
      <c r="R76" s="77"/>
      <c r="S76" s="132"/>
      <c r="T76" s="238"/>
      <c r="U76" s="239"/>
      <c r="V76" s="240">
        <v>75</v>
      </c>
      <c r="W76" s="241">
        <v>3.75</v>
      </c>
      <c r="X76" s="111">
        <f>'fert +pest rates'!D76</f>
        <v>0</v>
      </c>
      <c r="Y76" s="5">
        <f>'fert +pest rates'!I76</f>
        <v>0</v>
      </c>
      <c r="Z76" s="166">
        <f>'fert +pest rates'!N76</f>
        <v>0</v>
      </c>
      <c r="AA76" s="166">
        <f>'fert +pest rates'!O76</f>
        <v>0</v>
      </c>
      <c r="AB76" s="5">
        <f t="shared" si="17"/>
        <v>0</v>
      </c>
      <c r="AC76" s="5">
        <f t="shared" si="18"/>
        <v>0</v>
      </c>
      <c r="AE76" s="428">
        <f>'fert +pest rates'!Q76</f>
        <v>0</v>
      </c>
      <c r="AK76" s="415">
        <f>'fert +pest rates'!S76</f>
        <v>0</v>
      </c>
      <c r="AO76" s="132"/>
      <c r="AT76" s="242"/>
      <c r="AU76" s="108"/>
      <c r="AV76" s="242"/>
      <c r="AX76" s="242"/>
      <c r="AZ76" s="236" t="s">
        <v>62</v>
      </c>
      <c r="BA76" s="238"/>
      <c r="BB76" s="236"/>
      <c r="BD76" s="546"/>
      <c r="BE76" s="541">
        <f t="shared" si="19"/>
        <v>0</v>
      </c>
      <c r="BJ76" s="72">
        <f t="shared" si="20"/>
        <v>0</v>
      </c>
      <c r="BK76" s="72" t="e">
        <f t="shared" si="12"/>
        <v>#DIV/0!</v>
      </c>
      <c r="BL76" s="107" t="e">
        <f t="shared" si="15"/>
        <v>#DIV/0!</v>
      </c>
      <c r="BM76" s="579">
        <f t="shared" si="21"/>
        <v>0</v>
      </c>
      <c r="BN76" s="72">
        <f t="shared" si="22"/>
        <v>0</v>
      </c>
      <c r="BO76" s="72" t="e">
        <f t="shared" si="23"/>
        <v>#DIV/0!</v>
      </c>
      <c r="BP76" s="107" t="e">
        <f t="shared" si="16"/>
        <v>#DIV/0!</v>
      </c>
    </row>
    <row r="77" spans="1:68" s="5" customFormat="1" ht="51">
      <c r="A77" s="164" t="s">
        <v>13</v>
      </c>
      <c r="B77" s="163">
        <v>75</v>
      </c>
      <c r="C77" s="163" t="s">
        <v>1116</v>
      </c>
      <c r="D77" s="163" t="s">
        <v>779</v>
      </c>
      <c r="E77" s="165">
        <v>57000</v>
      </c>
      <c r="F77" s="165">
        <v>22800</v>
      </c>
      <c r="G77" s="165">
        <f t="shared" si="13"/>
        <v>34200</v>
      </c>
      <c r="H77" s="172">
        <f t="shared" si="14"/>
        <v>0.6</v>
      </c>
      <c r="I77" s="166" t="s">
        <v>825</v>
      </c>
      <c r="J77" s="835" t="s">
        <v>1119</v>
      </c>
      <c r="N77" s="5">
        <v>5</v>
      </c>
      <c r="O77" s="167">
        <v>5</v>
      </c>
      <c r="P77" s="167">
        <v>0</v>
      </c>
      <c r="R77" s="111">
        <v>283</v>
      </c>
      <c r="S77" s="78">
        <v>15</v>
      </c>
      <c r="T77" s="168"/>
      <c r="U77" s="175" t="s">
        <v>552</v>
      </c>
      <c r="V77" s="176">
        <v>100</v>
      </c>
      <c r="W77" s="170">
        <v>5</v>
      </c>
      <c r="X77" s="111">
        <f>'fert +pest rates'!D77</f>
        <v>163.32875</v>
      </c>
      <c r="Y77" s="5">
        <f>'fert +pest rates'!I77</f>
        <v>243.17149999999998</v>
      </c>
      <c r="Z77" s="166">
        <f>'fert +pest rates'!N77</f>
        <v>0</v>
      </c>
      <c r="AA77" s="166">
        <f>'fert +pest rates'!O77</f>
        <v>0</v>
      </c>
      <c r="AB77" s="5">
        <f t="shared" si="17"/>
        <v>0</v>
      </c>
      <c r="AC77" s="5">
        <f t="shared" si="18"/>
        <v>0</v>
      </c>
      <c r="AD77" s="5">
        <v>147</v>
      </c>
      <c r="AE77" s="428">
        <f>'fert +pest rates'!Q77</f>
        <v>0</v>
      </c>
      <c r="AK77" s="415">
        <f>'fert +pest rates'!S77</f>
        <v>0</v>
      </c>
      <c r="AO77" s="78"/>
      <c r="AT77" s="108">
        <v>0.15</v>
      </c>
      <c r="AU77" s="108"/>
      <c r="AV77" s="108"/>
      <c r="AX77" s="108">
        <v>0.3</v>
      </c>
      <c r="AZ77" s="166" t="s">
        <v>825</v>
      </c>
      <c r="BA77" s="168" t="s">
        <v>181</v>
      </c>
      <c r="BB77" s="166"/>
      <c r="BD77" s="541">
        <f>'Recycle pits'!AP50</f>
        <v>0.2126727844131339</v>
      </c>
      <c r="BE77" s="541">
        <f t="shared" si="19"/>
        <v>0.2126727844131339</v>
      </c>
      <c r="BH77" s="5">
        <v>283</v>
      </c>
      <c r="BI77" s="5">
        <v>15</v>
      </c>
      <c r="BJ77" s="72">
        <f t="shared" si="20"/>
        <v>42.45</v>
      </c>
      <c r="BK77" s="72">
        <f t="shared" si="12"/>
        <v>0</v>
      </c>
      <c r="BL77" s="107" t="e">
        <f t="shared" si="15"/>
        <v>#NUM!</v>
      </c>
      <c r="BM77" s="579">
        <f t="shared" si="21"/>
        <v>15</v>
      </c>
      <c r="BN77" s="72">
        <f t="shared" si="22"/>
        <v>42.45</v>
      </c>
      <c r="BO77" s="72">
        <f t="shared" si="23"/>
        <v>35.33568904593639</v>
      </c>
      <c r="BP77" s="107">
        <f t="shared" si="16"/>
        <v>0.3564893474332945</v>
      </c>
    </row>
    <row r="78" spans="1:69" s="5" customFormat="1" ht="51">
      <c r="A78" s="164" t="s">
        <v>819</v>
      </c>
      <c r="B78" s="163">
        <v>76</v>
      </c>
      <c r="C78" s="163" t="s">
        <v>1116</v>
      </c>
      <c r="D78" s="163" t="s">
        <v>779</v>
      </c>
      <c r="E78" s="165">
        <v>10000</v>
      </c>
      <c r="F78" s="165">
        <v>2000</v>
      </c>
      <c r="G78" s="165">
        <f t="shared" si="13"/>
        <v>8000</v>
      </c>
      <c r="H78" s="172">
        <f t="shared" si="14"/>
        <v>0.8</v>
      </c>
      <c r="I78" s="166" t="s">
        <v>553</v>
      </c>
      <c r="J78" s="835" t="s">
        <v>1119</v>
      </c>
      <c r="N78" s="5">
        <v>5</v>
      </c>
      <c r="O78" s="167">
        <v>5</v>
      </c>
      <c r="P78" s="167">
        <v>0</v>
      </c>
      <c r="R78" s="111">
        <v>304</v>
      </c>
      <c r="S78" s="78">
        <v>18</v>
      </c>
      <c r="T78" s="166" t="s">
        <v>553</v>
      </c>
      <c r="U78" s="175" t="s">
        <v>552</v>
      </c>
      <c r="V78" s="176">
        <v>100</v>
      </c>
      <c r="W78" s="170">
        <v>5</v>
      </c>
      <c r="X78" s="111">
        <f>'fert +pest rates'!D78</f>
        <v>163.32875</v>
      </c>
      <c r="Y78" s="5">
        <f>'fert +pest rates'!I78</f>
        <v>243.17149999999998</v>
      </c>
      <c r="Z78" s="166">
        <f>'fert +pest rates'!N78</f>
        <v>0</v>
      </c>
      <c r="AA78" s="166">
        <f>'fert +pest rates'!O78</f>
        <v>0</v>
      </c>
      <c r="AB78" s="5">
        <f t="shared" si="17"/>
        <v>0</v>
      </c>
      <c r="AC78" s="5">
        <f t="shared" si="18"/>
        <v>0</v>
      </c>
      <c r="AD78" s="5">
        <v>219</v>
      </c>
      <c r="AE78" s="428">
        <f>'fert +pest rates'!Q78</f>
        <v>0</v>
      </c>
      <c r="AK78" s="415">
        <f>'fert +pest rates'!S78</f>
        <v>0</v>
      </c>
      <c r="AO78" s="78"/>
      <c r="AT78" s="108">
        <v>0.15</v>
      </c>
      <c r="AU78" s="108"/>
      <c r="AV78" s="108"/>
      <c r="AX78" s="108">
        <v>0.3</v>
      </c>
      <c r="AZ78" s="166" t="s">
        <v>553</v>
      </c>
      <c r="BA78" s="166" t="s">
        <v>182</v>
      </c>
      <c r="BB78" s="166"/>
      <c r="BD78" s="541">
        <f>BQ78</f>
        <v>0.11755733298042381</v>
      </c>
      <c r="BE78" s="541">
        <f t="shared" si="19"/>
        <v>0.11755733298042381</v>
      </c>
      <c r="BG78" s="5">
        <v>10</v>
      </c>
      <c r="BH78" s="5">
        <v>304</v>
      </c>
      <c r="BI78" s="5">
        <v>8</v>
      </c>
      <c r="BJ78" s="72">
        <f t="shared" si="20"/>
        <v>45.599999999999994</v>
      </c>
      <c r="BK78" s="72">
        <f t="shared" si="12"/>
        <v>21.92982456140351</v>
      </c>
      <c r="BL78" s="107">
        <f t="shared" si="15"/>
        <v>0.3087847562461797</v>
      </c>
      <c r="BM78" s="579">
        <f t="shared" si="21"/>
        <v>18</v>
      </c>
      <c r="BN78" s="72">
        <f t="shared" si="22"/>
        <v>45.599999999999994</v>
      </c>
      <c r="BO78" s="72">
        <f t="shared" si="23"/>
        <v>39.47368421052632</v>
      </c>
      <c r="BP78" s="107">
        <f t="shared" si="16"/>
        <v>0.3675634227363916</v>
      </c>
      <c r="BQ78" s="40">
        <f>(BP78-BL78)*2</f>
        <v>0.11755733298042381</v>
      </c>
    </row>
    <row r="79" spans="1:69" s="5" customFormat="1" ht="51">
      <c r="A79" s="164" t="s">
        <v>820</v>
      </c>
      <c r="B79" s="163">
        <v>77</v>
      </c>
      <c r="C79" s="163" t="s">
        <v>1116</v>
      </c>
      <c r="D79" s="163" t="s">
        <v>779</v>
      </c>
      <c r="E79" s="165">
        <v>28000</v>
      </c>
      <c r="F79" s="165">
        <v>11200</v>
      </c>
      <c r="G79" s="165">
        <f t="shared" si="13"/>
        <v>16800</v>
      </c>
      <c r="H79" s="172">
        <f t="shared" si="14"/>
        <v>0.6</v>
      </c>
      <c r="I79" s="166" t="s">
        <v>474</v>
      </c>
      <c r="J79" s="835" t="s">
        <v>1119</v>
      </c>
      <c r="N79" s="5">
        <v>5</v>
      </c>
      <c r="O79" s="167">
        <v>5</v>
      </c>
      <c r="P79" s="167">
        <v>0</v>
      </c>
      <c r="R79" s="111">
        <v>162</v>
      </c>
      <c r="S79" s="78">
        <v>10</v>
      </c>
      <c r="T79" s="166" t="s">
        <v>474</v>
      </c>
      <c r="U79" s="175" t="s">
        <v>552</v>
      </c>
      <c r="V79" s="176">
        <v>100</v>
      </c>
      <c r="W79" s="170">
        <v>5</v>
      </c>
      <c r="X79" s="111">
        <f>'fert +pest rates'!D79</f>
        <v>163.32875</v>
      </c>
      <c r="Y79" s="5">
        <f>'fert +pest rates'!I79</f>
        <v>243.17149999999998</v>
      </c>
      <c r="Z79" s="166">
        <f>'fert +pest rates'!N79</f>
        <v>0</v>
      </c>
      <c r="AA79" s="166">
        <f>'fert +pest rates'!O79</f>
        <v>0</v>
      </c>
      <c r="AB79" s="5">
        <f t="shared" si="17"/>
        <v>0</v>
      </c>
      <c r="AC79" s="5">
        <f t="shared" si="18"/>
        <v>0</v>
      </c>
      <c r="AD79" s="5">
        <v>162</v>
      </c>
      <c r="AE79" s="428">
        <f>'fert +pest rates'!Q79</f>
        <v>0</v>
      </c>
      <c r="AK79" s="415">
        <f>'fert +pest rates'!S79</f>
        <v>0</v>
      </c>
      <c r="AO79" s="78"/>
      <c r="AT79" s="108">
        <v>0.15</v>
      </c>
      <c r="AU79" s="108"/>
      <c r="AV79" s="108"/>
      <c r="AX79" s="108">
        <v>0.3</v>
      </c>
      <c r="AZ79" s="166" t="s">
        <v>474</v>
      </c>
      <c r="BA79" s="166" t="s">
        <v>474</v>
      </c>
      <c r="BB79" s="166"/>
      <c r="BD79" s="541">
        <f>BQ79</f>
        <v>0.13862943611198908</v>
      </c>
      <c r="BE79" s="541">
        <f t="shared" si="19"/>
        <v>0.13862943611198908</v>
      </c>
      <c r="BG79" s="5">
        <v>5</v>
      </c>
      <c r="BH79" s="5">
        <v>162</v>
      </c>
      <c r="BI79" s="5">
        <v>5</v>
      </c>
      <c r="BJ79" s="72">
        <f t="shared" si="20"/>
        <v>24.299999999999997</v>
      </c>
      <c r="BK79" s="72">
        <f t="shared" si="12"/>
        <v>20.576131687242803</v>
      </c>
      <c r="BL79" s="107">
        <f t="shared" si="15"/>
        <v>0.3024131748075689</v>
      </c>
      <c r="BM79" s="579">
        <f t="shared" si="21"/>
        <v>10</v>
      </c>
      <c r="BN79" s="72">
        <f t="shared" si="22"/>
        <v>24.299999999999997</v>
      </c>
      <c r="BO79" s="72">
        <f t="shared" si="23"/>
        <v>41.15226337448561</v>
      </c>
      <c r="BP79" s="107">
        <f t="shared" si="16"/>
        <v>0.37172789286356345</v>
      </c>
      <c r="BQ79" s="40">
        <f>(BP79-BL79)*2</f>
        <v>0.13862943611198908</v>
      </c>
    </row>
    <row r="80" spans="1:68" s="189" customFormat="1" ht="51">
      <c r="A80" s="185" t="s">
        <v>821</v>
      </c>
      <c r="B80" s="184">
        <v>78</v>
      </c>
      <c r="C80" s="184" t="s">
        <v>1116</v>
      </c>
      <c r="D80" s="184" t="s">
        <v>779</v>
      </c>
      <c r="E80" s="186">
        <v>47000</v>
      </c>
      <c r="F80" s="186">
        <v>7000</v>
      </c>
      <c r="G80" s="186">
        <f t="shared" si="13"/>
        <v>40000</v>
      </c>
      <c r="H80" s="187">
        <f t="shared" si="14"/>
        <v>0.851063829787234</v>
      </c>
      <c r="I80" s="188" t="s">
        <v>829</v>
      </c>
      <c r="J80" s="834" t="s">
        <v>1119</v>
      </c>
      <c r="N80" s="189">
        <v>3</v>
      </c>
      <c r="O80" s="190">
        <v>5</v>
      </c>
      <c r="P80" s="190">
        <v>0</v>
      </c>
      <c r="R80" s="191"/>
      <c r="S80" s="192"/>
      <c r="T80" s="193" t="s">
        <v>1096</v>
      </c>
      <c r="U80" s="194" t="s">
        <v>554</v>
      </c>
      <c r="V80" s="195">
        <v>75</v>
      </c>
      <c r="W80" s="196">
        <v>3.75</v>
      </c>
      <c r="X80" s="111">
        <f>'fert +pest rates'!D80</f>
        <v>195.624</v>
      </c>
      <c r="Y80" s="5">
        <f>'fert +pest rates'!I80</f>
        <v>195.624</v>
      </c>
      <c r="Z80" s="166">
        <f>'fert +pest rates'!N80</f>
        <v>0</v>
      </c>
      <c r="AA80" s="166">
        <f>'fert +pest rates'!O80</f>
        <v>0</v>
      </c>
      <c r="AB80" s="5">
        <f t="shared" si="17"/>
        <v>0</v>
      </c>
      <c r="AC80" s="5">
        <f t="shared" si="18"/>
        <v>0</v>
      </c>
      <c r="AD80" s="189">
        <v>60</v>
      </c>
      <c r="AE80" s="428">
        <f>'fert +pest rates'!Q80</f>
        <v>0</v>
      </c>
      <c r="AK80" s="415">
        <f>'fert +pest rates'!S80</f>
        <v>0</v>
      </c>
      <c r="AO80" s="192"/>
      <c r="AT80" s="197">
        <v>0.15</v>
      </c>
      <c r="AU80" s="108"/>
      <c r="AV80" s="197"/>
      <c r="AX80" s="197">
        <v>0.3</v>
      </c>
      <c r="AZ80" s="188" t="s">
        <v>829</v>
      </c>
      <c r="BA80" s="193" t="s">
        <v>1096</v>
      </c>
      <c r="BB80" s="188" t="s">
        <v>444</v>
      </c>
      <c r="BC80" s="540">
        <v>0.005</v>
      </c>
      <c r="BD80" s="540">
        <v>0.02</v>
      </c>
      <c r="BE80" s="541">
        <f t="shared" si="19"/>
        <v>0.02</v>
      </c>
      <c r="BJ80" s="72">
        <f t="shared" si="20"/>
        <v>0</v>
      </c>
      <c r="BK80" s="72" t="e">
        <f t="shared" si="12"/>
        <v>#DIV/0!</v>
      </c>
      <c r="BL80" s="107" t="e">
        <f t="shared" si="15"/>
        <v>#DIV/0!</v>
      </c>
      <c r="BM80" s="579">
        <f t="shared" si="21"/>
        <v>0</v>
      </c>
      <c r="BN80" s="72">
        <f t="shared" si="22"/>
        <v>0</v>
      </c>
      <c r="BO80" s="72" t="e">
        <f t="shared" si="23"/>
        <v>#DIV/0!</v>
      </c>
      <c r="BP80" s="107" t="e">
        <f t="shared" si="16"/>
        <v>#DIV/0!</v>
      </c>
    </row>
    <row r="81" spans="1:68" s="189" customFormat="1" ht="38.25">
      <c r="A81" s="185" t="s">
        <v>822</v>
      </c>
      <c r="B81" s="184">
        <v>79</v>
      </c>
      <c r="C81" s="184" t="s">
        <v>1116</v>
      </c>
      <c r="D81" s="184" t="s">
        <v>779</v>
      </c>
      <c r="E81" s="186">
        <v>7000</v>
      </c>
      <c r="F81" s="186">
        <v>2000</v>
      </c>
      <c r="G81" s="186">
        <f t="shared" si="13"/>
        <v>5000</v>
      </c>
      <c r="H81" s="187">
        <f t="shared" si="14"/>
        <v>0.7142857142857143</v>
      </c>
      <c r="I81" s="188" t="s">
        <v>1094</v>
      </c>
      <c r="J81" s="834" t="s">
        <v>1119</v>
      </c>
      <c r="N81" s="189">
        <v>3</v>
      </c>
      <c r="O81" s="190">
        <v>5</v>
      </c>
      <c r="P81" s="190">
        <v>0</v>
      </c>
      <c r="R81" s="191"/>
      <c r="S81" s="192"/>
      <c r="T81" s="193" t="s">
        <v>1096</v>
      </c>
      <c r="U81" s="194"/>
      <c r="V81" s="195"/>
      <c r="W81" s="196">
        <v>0</v>
      </c>
      <c r="X81" s="111">
        <f>'fert +pest rates'!D81</f>
        <v>245.08575000000002</v>
      </c>
      <c r="Y81" s="5">
        <f>'fert +pest rates'!I81</f>
        <v>245.08575000000002</v>
      </c>
      <c r="Z81" s="166">
        <f>'fert +pest rates'!N81</f>
        <v>0</v>
      </c>
      <c r="AA81" s="166">
        <f>'fert +pest rates'!O81</f>
        <v>0</v>
      </c>
      <c r="AB81" s="5">
        <f t="shared" si="17"/>
        <v>0</v>
      </c>
      <c r="AC81" s="5">
        <f t="shared" si="18"/>
        <v>0</v>
      </c>
      <c r="AD81" s="189">
        <v>133</v>
      </c>
      <c r="AE81" s="428">
        <f>'fert +pest rates'!Q81</f>
        <v>0</v>
      </c>
      <c r="AK81" s="415">
        <f>'fert +pest rates'!S81</f>
        <v>0</v>
      </c>
      <c r="AO81" s="192"/>
      <c r="AT81" s="197">
        <v>0.15</v>
      </c>
      <c r="AU81" s="108"/>
      <c r="AV81" s="197"/>
      <c r="AX81" s="197">
        <v>0.3</v>
      </c>
      <c r="AZ81" s="188" t="s">
        <v>1094</v>
      </c>
      <c r="BA81" s="193" t="s">
        <v>1096</v>
      </c>
      <c r="BB81" s="188"/>
      <c r="BD81" s="540">
        <v>0.5</v>
      </c>
      <c r="BE81" s="541">
        <f t="shared" si="19"/>
        <v>0.5</v>
      </c>
      <c r="BJ81" s="72">
        <f t="shared" si="20"/>
        <v>0</v>
      </c>
      <c r="BK81" s="72" t="e">
        <f t="shared" si="12"/>
        <v>#DIV/0!</v>
      </c>
      <c r="BL81" s="107" t="e">
        <f t="shared" si="15"/>
        <v>#DIV/0!</v>
      </c>
      <c r="BM81" s="579">
        <f t="shared" si="21"/>
        <v>0</v>
      </c>
      <c r="BN81" s="72">
        <f t="shared" si="22"/>
        <v>0</v>
      </c>
      <c r="BO81" s="72" t="e">
        <f t="shared" si="23"/>
        <v>#DIV/0!</v>
      </c>
      <c r="BP81" s="107" t="e">
        <f t="shared" si="16"/>
        <v>#DIV/0!</v>
      </c>
    </row>
    <row r="82" spans="1:68" s="189" customFormat="1" ht="63.75">
      <c r="A82" s="185">
        <v>101</v>
      </c>
      <c r="B82" s="184">
        <v>80</v>
      </c>
      <c r="C82" s="184" t="s">
        <v>1116</v>
      </c>
      <c r="D82" s="184" t="s">
        <v>779</v>
      </c>
      <c r="E82" s="186">
        <v>70000</v>
      </c>
      <c r="F82" s="186">
        <v>50000</v>
      </c>
      <c r="G82" s="186">
        <f t="shared" si="13"/>
        <v>20000</v>
      </c>
      <c r="H82" s="187">
        <f t="shared" si="14"/>
        <v>0.2857142857142857</v>
      </c>
      <c r="I82" s="188" t="s">
        <v>858</v>
      </c>
      <c r="J82" s="834" t="s">
        <v>1120</v>
      </c>
      <c r="N82" s="189">
        <v>4</v>
      </c>
      <c r="O82" s="190">
        <v>5</v>
      </c>
      <c r="P82" s="190">
        <v>0</v>
      </c>
      <c r="R82" s="191"/>
      <c r="S82" s="192"/>
      <c r="T82" s="193" t="s">
        <v>436</v>
      </c>
      <c r="U82" s="194" t="s">
        <v>555</v>
      </c>
      <c r="V82" s="195">
        <v>75</v>
      </c>
      <c r="W82" s="196">
        <v>3.75</v>
      </c>
      <c r="X82" s="111">
        <f>'fert +pest rates'!D82</f>
        <v>83.05375</v>
      </c>
      <c r="Y82" s="5">
        <f>'fert +pest rates'!I82</f>
        <v>175.37</v>
      </c>
      <c r="Z82" s="236" t="str">
        <f>'fert +pest rates'!N82</f>
        <v>Nil with legume</v>
      </c>
      <c r="AA82" s="236" t="str">
        <f>'fert +pest rates'!O82</f>
        <v>Nil with legume</v>
      </c>
      <c r="AB82" s="76">
        <v>0</v>
      </c>
      <c r="AC82" s="76">
        <v>0</v>
      </c>
      <c r="AD82" s="189">
        <v>682</v>
      </c>
      <c r="AE82" s="428" t="str">
        <f>'fert +pest rates'!Q82</f>
        <v>.5kg/ha Diuron,    1L/ha 2-4-D</v>
      </c>
      <c r="AG82" s="189">
        <v>0.5</v>
      </c>
      <c r="AH82" s="189">
        <v>1</v>
      </c>
      <c r="AK82" s="415">
        <f>'fert +pest rates'!S82</f>
        <v>0</v>
      </c>
      <c r="AO82" s="192"/>
      <c r="AT82" s="197">
        <v>0.15</v>
      </c>
      <c r="AU82" s="108"/>
      <c r="AV82" s="197"/>
      <c r="AX82" s="197">
        <v>0.3</v>
      </c>
      <c r="AZ82" s="188" t="s">
        <v>858</v>
      </c>
      <c r="BA82" s="193" t="s">
        <v>436</v>
      </c>
      <c r="BB82" s="188" t="s">
        <v>442</v>
      </c>
      <c r="BC82" s="540">
        <v>0.0025</v>
      </c>
      <c r="BD82" s="540">
        <v>0.01</v>
      </c>
      <c r="BE82" s="541">
        <f t="shared" si="19"/>
        <v>0.01</v>
      </c>
      <c r="BJ82" s="72">
        <f t="shared" si="20"/>
        <v>0</v>
      </c>
      <c r="BK82" s="72" t="e">
        <f t="shared" si="12"/>
        <v>#DIV/0!</v>
      </c>
      <c r="BL82" s="107" t="e">
        <f t="shared" si="15"/>
        <v>#DIV/0!</v>
      </c>
      <c r="BM82" s="579">
        <f t="shared" si="21"/>
        <v>0</v>
      </c>
      <c r="BN82" s="72">
        <f t="shared" si="22"/>
        <v>0</v>
      </c>
      <c r="BO82" s="72" t="e">
        <f t="shared" si="23"/>
        <v>#DIV/0!</v>
      </c>
      <c r="BP82" s="107" t="e">
        <f t="shared" si="16"/>
        <v>#DIV/0!</v>
      </c>
    </row>
    <row r="83" spans="1:68" s="67" customFormat="1" ht="75" customHeight="1">
      <c r="A83" s="221">
        <v>102</v>
      </c>
      <c r="B83" s="220">
        <v>81</v>
      </c>
      <c r="C83" s="220" t="s">
        <v>1116</v>
      </c>
      <c r="D83" s="220" t="s">
        <v>779</v>
      </c>
      <c r="E83" s="222">
        <v>16000</v>
      </c>
      <c r="F83" s="222">
        <v>5000</v>
      </c>
      <c r="G83" s="222">
        <f t="shared" si="13"/>
        <v>11000</v>
      </c>
      <c r="H83" s="223">
        <f t="shared" si="14"/>
        <v>0.6875</v>
      </c>
      <c r="I83" s="57" t="s">
        <v>848</v>
      </c>
      <c r="J83" s="838" t="s">
        <v>1120</v>
      </c>
      <c r="N83" s="67">
        <v>3</v>
      </c>
      <c r="O83" s="224">
        <v>5</v>
      </c>
      <c r="P83" s="224">
        <v>1</v>
      </c>
      <c r="R83" s="225"/>
      <c r="S83" s="226"/>
      <c r="T83" s="227" t="s">
        <v>556</v>
      </c>
      <c r="U83" s="257" t="s">
        <v>546</v>
      </c>
      <c r="V83" s="258">
        <v>50</v>
      </c>
      <c r="W83" s="229">
        <v>2.5</v>
      </c>
      <c r="X83" s="111">
        <f>'fert +pest rates'!D83</f>
        <v>150</v>
      </c>
      <c r="Y83" s="5">
        <f>'fert +pest rates'!I83</f>
        <v>230</v>
      </c>
      <c r="Z83" s="166">
        <f>'fert +pest rates'!N83</f>
        <v>0</v>
      </c>
      <c r="AA83" s="166">
        <f>'fert +pest rates'!O83</f>
        <v>0</v>
      </c>
      <c r="AB83" s="5">
        <f t="shared" si="17"/>
        <v>0</v>
      </c>
      <c r="AC83" s="5">
        <f t="shared" si="18"/>
        <v>0</v>
      </c>
      <c r="AD83" s="67">
        <v>160</v>
      </c>
      <c r="AE83" s="428" t="str">
        <f>'fert +pest rates'!Q83</f>
        <v>2.2L Diuron/ha; 1L 2-4-D/ha</v>
      </c>
      <c r="AG83" s="67">
        <v>2.2</v>
      </c>
      <c r="AH83" s="67">
        <v>1</v>
      </c>
      <c r="AK83" s="415">
        <f>'fert +pest rates'!S83</f>
        <v>0</v>
      </c>
      <c r="AO83" s="226"/>
      <c r="AT83" s="230">
        <v>0.15</v>
      </c>
      <c r="AU83" s="108"/>
      <c r="AV83" s="230"/>
      <c r="AX83" s="230">
        <v>0.3</v>
      </c>
      <c r="AZ83" s="57" t="s">
        <v>848</v>
      </c>
      <c r="BA83" s="227" t="s">
        <v>556</v>
      </c>
      <c r="BB83" s="57"/>
      <c r="BC83" s="544">
        <v>0.008</v>
      </c>
      <c r="BD83" s="544">
        <v>0.85</v>
      </c>
      <c r="BE83" s="541">
        <f t="shared" si="19"/>
        <v>0.85</v>
      </c>
      <c r="BJ83" s="72">
        <f t="shared" si="20"/>
        <v>0</v>
      </c>
      <c r="BK83" s="72" t="e">
        <f t="shared" si="12"/>
        <v>#DIV/0!</v>
      </c>
      <c r="BL83" s="107" t="e">
        <f t="shared" si="15"/>
        <v>#DIV/0!</v>
      </c>
      <c r="BM83" s="579">
        <f t="shared" si="21"/>
        <v>0</v>
      </c>
      <c r="BN83" s="72">
        <f t="shared" si="22"/>
        <v>0</v>
      </c>
      <c r="BO83" s="72" t="e">
        <f t="shared" si="23"/>
        <v>#DIV/0!</v>
      </c>
      <c r="BP83" s="107" t="e">
        <f t="shared" si="16"/>
        <v>#DIV/0!</v>
      </c>
    </row>
    <row r="84" spans="1:68" s="199" customFormat="1" ht="63.75">
      <c r="A84" s="202">
        <v>104</v>
      </c>
      <c r="B84" s="201">
        <v>82</v>
      </c>
      <c r="C84" s="201" t="s">
        <v>1116</v>
      </c>
      <c r="D84" s="264" t="s">
        <v>783</v>
      </c>
      <c r="E84" s="203">
        <v>18000</v>
      </c>
      <c r="F84" s="203">
        <v>8000</v>
      </c>
      <c r="G84" s="203">
        <f t="shared" si="13"/>
        <v>10000</v>
      </c>
      <c r="H84" s="204">
        <f t="shared" si="14"/>
        <v>0.5555555555555556</v>
      </c>
      <c r="I84" s="83" t="s">
        <v>859</v>
      </c>
      <c r="J84" s="836" t="s">
        <v>1120</v>
      </c>
      <c r="N84" s="199">
        <v>3</v>
      </c>
      <c r="O84" s="205">
        <v>5</v>
      </c>
      <c r="P84" s="205">
        <v>0.3</v>
      </c>
      <c r="R84" s="206"/>
      <c r="S84" s="207"/>
      <c r="T84" s="208" t="s">
        <v>1107</v>
      </c>
      <c r="U84" s="219" t="s">
        <v>557</v>
      </c>
      <c r="V84" s="211">
        <v>25</v>
      </c>
      <c r="W84" s="211">
        <v>1.25</v>
      </c>
      <c r="X84" s="111">
        <f>'fert +pest rates'!D84</f>
        <v>133.50350000000003</v>
      </c>
      <c r="Y84" s="5">
        <f>'fert +pest rates'!I84</f>
        <v>191.4744</v>
      </c>
      <c r="Z84" s="166">
        <f>0.75*X84</f>
        <v>100.12762500000002</v>
      </c>
      <c r="AA84" s="166">
        <f>0.75*Y84</f>
        <v>143.6058</v>
      </c>
      <c r="AB84" s="5">
        <f t="shared" si="17"/>
        <v>100.12762500000002</v>
      </c>
      <c r="AC84" s="5">
        <f t="shared" si="18"/>
        <v>143.6058</v>
      </c>
      <c r="AD84" s="199">
        <v>113</v>
      </c>
      <c r="AE84" s="428" t="str">
        <f>'fert +pest rates'!Q84</f>
        <v>1.6L Atrazine/ha; .2L Diuron/ha; .5kg Diuron/ha</v>
      </c>
      <c r="AF84" s="199">
        <v>1.6</v>
      </c>
      <c r="AG84" s="199">
        <v>2</v>
      </c>
      <c r="AH84" s="199">
        <v>0.5</v>
      </c>
      <c r="AK84" s="415">
        <f>'fert +pest rates'!S84</f>
        <v>0</v>
      </c>
      <c r="AO84" s="207"/>
      <c r="AT84" s="212">
        <v>0.15</v>
      </c>
      <c r="AU84" s="108"/>
      <c r="AV84" s="212"/>
      <c r="AX84" s="212">
        <v>0.3</v>
      </c>
      <c r="AZ84" s="83" t="s">
        <v>859</v>
      </c>
      <c r="BA84" s="208" t="s">
        <v>1107</v>
      </c>
      <c r="BB84" s="83"/>
      <c r="BD84" s="542">
        <v>0.1</v>
      </c>
      <c r="BE84" s="541">
        <f t="shared" si="19"/>
        <v>0.1</v>
      </c>
      <c r="BJ84" s="72">
        <f t="shared" si="20"/>
        <v>0</v>
      </c>
      <c r="BK84" s="72" t="e">
        <f t="shared" si="12"/>
        <v>#DIV/0!</v>
      </c>
      <c r="BL84" s="107" t="e">
        <f t="shared" si="15"/>
        <v>#DIV/0!</v>
      </c>
      <c r="BM84" s="579">
        <f t="shared" si="21"/>
        <v>0</v>
      </c>
      <c r="BN84" s="72">
        <f t="shared" si="22"/>
        <v>0</v>
      </c>
      <c r="BO84" s="72" t="e">
        <f t="shared" si="23"/>
        <v>#DIV/0!</v>
      </c>
      <c r="BP84" s="107" t="e">
        <f t="shared" si="16"/>
        <v>#DIV/0!</v>
      </c>
    </row>
    <row r="85" spans="1:68" s="199" customFormat="1" ht="38.25">
      <c r="A85" s="202" t="s">
        <v>784</v>
      </c>
      <c r="B85" s="201">
        <v>83</v>
      </c>
      <c r="C85" s="201" t="s">
        <v>1116</v>
      </c>
      <c r="D85" s="201" t="s">
        <v>779</v>
      </c>
      <c r="E85" s="203">
        <v>7000</v>
      </c>
      <c r="F85" s="203">
        <v>4000</v>
      </c>
      <c r="G85" s="203">
        <f t="shared" si="13"/>
        <v>3000</v>
      </c>
      <c r="H85" s="204">
        <f t="shared" si="14"/>
        <v>0.42857142857142855</v>
      </c>
      <c r="I85" s="83" t="s">
        <v>860</v>
      </c>
      <c r="J85" s="836" t="s">
        <v>1120</v>
      </c>
      <c r="N85" s="199">
        <v>3</v>
      </c>
      <c r="O85" s="205">
        <v>5</v>
      </c>
      <c r="P85" s="205">
        <v>0.2</v>
      </c>
      <c r="R85" s="206"/>
      <c r="S85" s="207"/>
      <c r="T85" s="208" t="s">
        <v>1108</v>
      </c>
      <c r="U85" s="209" t="s">
        <v>557</v>
      </c>
      <c r="V85" s="210">
        <v>25</v>
      </c>
      <c r="W85" s="211">
        <v>1.25</v>
      </c>
      <c r="X85" s="111">
        <f>'fert +pest rates'!D85</f>
        <v>77.49625</v>
      </c>
      <c r="Y85" s="5">
        <f>'fert +pest rates'!I85</f>
        <v>227.24</v>
      </c>
      <c r="Z85" s="166">
        <f>0.75*X85</f>
        <v>58.1221875</v>
      </c>
      <c r="AA85" s="166">
        <f>0.75*Y85</f>
        <v>170.43</v>
      </c>
      <c r="AB85" s="5">
        <f t="shared" si="17"/>
        <v>58.1221875</v>
      </c>
      <c r="AC85" s="5">
        <f t="shared" si="18"/>
        <v>170.43</v>
      </c>
      <c r="AD85" s="199">
        <v>105</v>
      </c>
      <c r="AE85" s="428" t="str">
        <f>'fert +pest rates'!Q85</f>
        <v>1L 2-4-D/ha</v>
      </c>
      <c r="AH85" s="199">
        <v>1</v>
      </c>
      <c r="AK85" s="415">
        <f>'fert +pest rates'!S85</f>
        <v>0</v>
      </c>
      <c r="AO85" s="207"/>
      <c r="AT85" s="212">
        <v>0.15</v>
      </c>
      <c r="AU85" s="108"/>
      <c r="AV85" s="212"/>
      <c r="AX85" s="212">
        <v>0.3</v>
      </c>
      <c r="AZ85" s="83" t="s">
        <v>860</v>
      </c>
      <c r="BA85" s="208" t="s">
        <v>1050</v>
      </c>
      <c r="BB85" s="83"/>
      <c r="BD85" s="542">
        <v>0.15</v>
      </c>
      <c r="BE85" s="541">
        <f t="shared" si="19"/>
        <v>0.15</v>
      </c>
      <c r="BJ85" s="72">
        <f t="shared" si="20"/>
        <v>0</v>
      </c>
      <c r="BK85" s="72" t="e">
        <f t="shared" si="12"/>
        <v>#DIV/0!</v>
      </c>
      <c r="BL85" s="107" t="e">
        <f t="shared" si="15"/>
        <v>#DIV/0!</v>
      </c>
      <c r="BM85" s="579">
        <f t="shared" si="21"/>
        <v>0</v>
      </c>
      <c r="BN85" s="72">
        <f t="shared" si="22"/>
        <v>0</v>
      </c>
      <c r="BO85" s="72" t="e">
        <f t="shared" si="23"/>
        <v>#DIV/0!</v>
      </c>
      <c r="BP85" s="107" t="e">
        <f t="shared" si="16"/>
        <v>#DIV/0!</v>
      </c>
    </row>
    <row r="86" spans="1:68" s="67" customFormat="1" ht="51">
      <c r="A86" s="221" t="s">
        <v>785</v>
      </c>
      <c r="B86" s="220">
        <v>84</v>
      </c>
      <c r="C86" s="220" t="s">
        <v>1116</v>
      </c>
      <c r="D86" s="220" t="s">
        <v>779</v>
      </c>
      <c r="E86" s="222">
        <v>16000</v>
      </c>
      <c r="F86" s="222">
        <v>5000</v>
      </c>
      <c r="G86" s="222">
        <f t="shared" si="13"/>
        <v>11000</v>
      </c>
      <c r="H86" s="223">
        <f t="shared" si="14"/>
        <v>0.6875</v>
      </c>
      <c r="I86" s="57" t="s">
        <v>861</v>
      </c>
      <c r="J86" s="838" t="s">
        <v>1120</v>
      </c>
      <c r="N86" s="67">
        <v>3</v>
      </c>
      <c r="O86" s="224">
        <v>5</v>
      </c>
      <c r="P86" s="224">
        <v>0.2</v>
      </c>
      <c r="R86" s="225"/>
      <c r="S86" s="226"/>
      <c r="T86" s="227" t="s">
        <v>558</v>
      </c>
      <c r="U86" s="257" t="s">
        <v>557</v>
      </c>
      <c r="V86" s="258">
        <v>25</v>
      </c>
      <c r="W86" s="229">
        <v>1.25</v>
      </c>
      <c r="X86" s="111">
        <f>'fert +pest rates'!D86</f>
        <v>77.49625</v>
      </c>
      <c r="Y86" s="5">
        <f>'fert +pest rates'!I86</f>
        <v>227.24</v>
      </c>
      <c r="Z86" s="166">
        <f>'fert +pest rates'!N86</f>
        <v>0</v>
      </c>
      <c r="AA86" s="166">
        <f>'fert +pest rates'!O86</f>
        <v>0</v>
      </c>
      <c r="AB86" s="5">
        <f t="shared" si="17"/>
        <v>0</v>
      </c>
      <c r="AC86" s="5">
        <f t="shared" si="18"/>
        <v>0</v>
      </c>
      <c r="AD86" s="67">
        <v>105</v>
      </c>
      <c r="AE86" s="428" t="str">
        <f>'fert +pest rates'!Q86</f>
        <v>1L 2-4-D/ha</v>
      </c>
      <c r="AH86" s="67">
        <v>1</v>
      </c>
      <c r="AK86" s="424" t="str">
        <f>'fert +pest rates'!S86</f>
        <v>all glyphosphate</v>
      </c>
      <c r="AN86" s="67">
        <v>0</v>
      </c>
      <c r="AO86" s="421">
        <f>(AF86-AL86)</f>
        <v>0</v>
      </c>
      <c r="AP86" s="421">
        <f>(AG86-AM86)</f>
        <v>0</v>
      </c>
      <c r="AQ86" s="421">
        <f>(AH86-AN86)</f>
        <v>1</v>
      </c>
      <c r="AT86" s="230">
        <v>0.15</v>
      </c>
      <c r="AU86" s="108"/>
      <c r="AV86" s="230"/>
      <c r="AX86" s="230">
        <v>0.3</v>
      </c>
      <c r="AZ86" s="57" t="s">
        <v>861</v>
      </c>
      <c r="BA86" s="227" t="s">
        <v>1038</v>
      </c>
      <c r="BB86" s="57"/>
      <c r="BC86" s="544">
        <v>0.008</v>
      </c>
      <c r="BD86" s="544">
        <v>1</v>
      </c>
      <c r="BE86" s="541">
        <f t="shared" si="19"/>
        <v>1</v>
      </c>
      <c r="BJ86" s="72">
        <f t="shared" si="20"/>
        <v>0</v>
      </c>
      <c r="BK86" s="72" t="e">
        <f t="shared" si="12"/>
        <v>#DIV/0!</v>
      </c>
      <c r="BL86" s="107" t="e">
        <f t="shared" si="15"/>
        <v>#DIV/0!</v>
      </c>
      <c r="BM86" s="579">
        <f t="shared" si="21"/>
        <v>0</v>
      </c>
      <c r="BN86" s="72">
        <f t="shared" si="22"/>
        <v>0</v>
      </c>
      <c r="BO86" s="72" t="e">
        <f t="shared" si="23"/>
        <v>#DIV/0!</v>
      </c>
      <c r="BP86" s="107" t="e">
        <f t="shared" si="16"/>
        <v>#DIV/0!</v>
      </c>
    </row>
    <row r="87" spans="1:68" s="294" customFormat="1" ht="51">
      <c r="A87" s="289" t="s">
        <v>786</v>
      </c>
      <c r="B87" s="290">
        <v>85</v>
      </c>
      <c r="C87" s="290" t="s">
        <v>1116</v>
      </c>
      <c r="D87" s="290" t="s">
        <v>779</v>
      </c>
      <c r="E87" s="291">
        <v>3000</v>
      </c>
      <c r="F87" s="291">
        <v>1500</v>
      </c>
      <c r="G87" s="291">
        <f t="shared" si="13"/>
        <v>1500</v>
      </c>
      <c r="H87" s="303">
        <f t="shared" si="14"/>
        <v>0.5</v>
      </c>
      <c r="I87" s="293" t="s">
        <v>862</v>
      </c>
      <c r="J87" s="676" t="s">
        <v>1120</v>
      </c>
      <c r="N87" s="294">
        <v>3</v>
      </c>
      <c r="O87" s="295">
        <v>5</v>
      </c>
      <c r="P87" s="295">
        <v>0.2</v>
      </c>
      <c r="R87" s="296"/>
      <c r="S87" s="297"/>
      <c r="T87" s="298" t="s">
        <v>438</v>
      </c>
      <c r="U87" s="304" t="s">
        <v>557</v>
      </c>
      <c r="V87" s="305">
        <v>25</v>
      </c>
      <c r="W87" s="301">
        <v>1.25</v>
      </c>
      <c r="X87" s="111">
        <f>'fert +pest rates'!D87</f>
        <v>77.49625</v>
      </c>
      <c r="Y87" s="5">
        <f>'fert +pest rates'!I87</f>
        <v>227.24</v>
      </c>
      <c r="Z87" s="166">
        <f>'fert +pest rates'!N87</f>
        <v>0</v>
      </c>
      <c r="AA87" s="166">
        <f>'fert +pest rates'!O87</f>
        <v>0</v>
      </c>
      <c r="AB87" s="5">
        <f t="shared" si="17"/>
        <v>0</v>
      </c>
      <c r="AC87" s="5">
        <f t="shared" si="18"/>
        <v>0</v>
      </c>
      <c r="AD87" s="294">
        <v>105</v>
      </c>
      <c r="AE87" s="428" t="str">
        <f>'fert +pest rates'!Q87</f>
        <v>1L 2-4-D/ha</v>
      </c>
      <c r="AH87" s="294">
        <v>1</v>
      </c>
      <c r="AK87" s="415">
        <f>'fert +pest rates'!S87</f>
        <v>0</v>
      </c>
      <c r="AO87" s="297"/>
      <c r="AT87" s="302">
        <v>0.15</v>
      </c>
      <c r="AU87" s="108"/>
      <c r="AV87" s="302"/>
      <c r="AX87" s="302">
        <v>0.3</v>
      </c>
      <c r="AZ87" s="293" t="s">
        <v>862</v>
      </c>
      <c r="BA87" s="298" t="s">
        <v>438</v>
      </c>
      <c r="BB87" s="188" t="s">
        <v>442</v>
      </c>
      <c r="BC87" s="540">
        <v>0.0008</v>
      </c>
      <c r="BD87" s="540">
        <v>0.0008</v>
      </c>
      <c r="BE87" s="541">
        <f t="shared" si="19"/>
        <v>0.0008</v>
      </c>
      <c r="BJ87" s="72">
        <f t="shared" si="20"/>
        <v>0</v>
      </c>
      <c r="BK87" s="72" t="e">
        <f t="shared" si="12"/>
        <v>#DIV/0!</v>
      </c>
      <c r="BL87" s="107" t="e">
        <f t="shared" si="15"/>
        <v>#DIV/0!</v>
      </c>
      <c r="BM87" s="579">
        <f t="shared" si="21"/>
        <v>0</v>
      </c>
      <c r="BN87" s="72">
        <f t="shared" si="22"/>
        <v>0</v>
      </c>
      <c r="BO87" s="72" t="e">
        <f t="shared" si="23"/>
        <v>#DIV/0!</v>
      </c>
      <c r="BP87" s="107" t="e">
        <f t="shared" si="16"/>
        <v>#DIV/0!</v>
      </c>
    </row>
    <row r="88" spans="1:68" s="199" customFormat="1" ht="38.25">
      <c r="A88" s="621" t="s">
        <v>750</v>
      </c>
      <c r="B88" s="199">
        <v>86</v>
      </c>
      <c r="C88" s="199" t="s">
        <v>1116</v>
      </c>
      <c r="D88" s="199" t="s">
        <v>783</v>
      </c>
      <c r="E88" s="199">
        <v>11000</v>
      </c>
      <c r="F88" s="199">
        <v>3000</v>
      </c>
      <c r="G88" s="199">
        <v>8000</v>
      </c>
      <c r="H88" s="204">
        <f t="shared" si="14"/>
        <v>0.7272727272727273</v>
      </c>
      <c r="I88" s="83" t="s">
        <v>81</v>
      </c>
      <c r="J88" s="836" t="s">
        <v>1119</v>
      </c>
      <c r="K88" s="199" t="s">
        <v>838</v>
      </c>
      <c r="N88" s="199">
        <v>3</v>
      </c>
      <c r="O88" s="205">
        <v>5</v>
      </c>
      <c r="P88" s="205">
        <v>1</v>
      </c>
      <c r="T88" s="208"/>
      <c r="U88" s="199" t="s">
        <v>751</v>
      </c>
      <c r="V88" s="199">
        <v>100</v>
      </c>
      <c r="W88" s="206">
        <v>5</v>
      </c>
      <c r="X88" s="199">
        <v>235</v>
      </c>
      <c r="Y88" s="83">
        <v>250</v>
      </c>
      <c r="Z88" s="83" t="s">
        <v>82</v>
      </c>
      <c r="AA88" s="83" t="s">
        <v>82</v>
      </c>
      <c r="AB88" s="199">
        <v>0</v>
      </c>
      <c r="AC88" s="199">
        <v>0</v>
      </c>
      <c r="AD88" s="604">
        <v>7</v>
      </c>
      <c r="AJ88" s="83"/>
      <c r="AN88" s="207"/>
      <c r="AY88" s="83"/>
      <c r="AZ88" s="208"/>
      <c r="BA88" s="83"/>
      <c r="BD88" s="540">
        <v>0</v>
      </c>
      <c r="BE88" s="541">
        <f t="shared" si="19"/>
        <v>0</v>
      </c>
      <c r="BJ88" s="587">
        <f t="shared" si="20"/>
        <v>0</v>
      </c>
      <c r="BK88" s="587" t="e">
        <f t="shared" si="12"/>
        <v>#DIV/0!</v>
      </c>
      <c r="BL88" s="587" t="e">
        <f t="shared" si="15"/>
        <v>#DIV/0!</v>
      </c>
      <c r="BM88" s="605">
        <f t="shared" si="21"/>
        <v>0</v>
      </c>
      <c r="BN88" s="587">
        <f t="shared" si="22"/>
        <v>0</v>
      </c>
      <c r="BO88" s="587" t="e">
        <f t="shared" si="23"/>
        <v>#DIV/0!</v>
      </c>
      <c r="BP88" s="587" t="e">
        <f t="shared" si="16"/>
        <v>#DIV/0!</v>
      </c>
    </row>
    <row r="89" spans="1:57" s="676" customFormat="1" ht="51">
      <c r="A89" s="675" t="s">
        <v>665</v>
      </c>
      <c r="B89" s="676">
        <v>87</v>
      </c>
      <c r="C89" s="676" t="s">
        <v>1116</v>
      </c>
      <c r="D89" s="676" t="s">
        <v>783</v>
      </c>
      <c r="E89" s="676">
        <v>25000</v>
      </c>
      <c r="F89" s="676">
        <v>15000</v>
      </c>
      <c r="G89" s="676">
        <v>10000</v>
      </c>
      <c r="H89" s="204">
        <f t="shared" si="14"/>
        <v>0.4</v>
      </c>
      <c r="I89" s="677" t="s">
        <v>666</v>
      </c>
      <c r="J89" s="676" t="s">
        <v>1120</v>
      </c>
      <c r="N89" s="687">
        <v>3</v>
      </c>
      <c r="O89" s="676">
        <v>5</v>
      </c>
      <c r="P89" s="686">
        <v>0.25</v>
      </c>
      <c r="T89" s="678"/>
      <c r="U89" s="676" t="s">
        <v>670</v>
      </c>
      <c r="V89" s="676">
        <v>25</v>
      </c>
      <c r="W89" s="676">
        <v>1.25</v>
      </c>
      <c r="X89" s="111">
        <f>'fert +pest rates'!D89</f>
        <v>60</v>
      </c>
      <c r="Y89" s="5">
        <f>'fert +pest rates'!I89</f>
        <v>90</v>
      </c>
      <c r="Z89" s="677"/>
      <c r="AA89" s="677"/>
      <c r="AD89" s="676">
        <v>8</v>
      </c>
      <c r="AE89" s="428" t="str">
        <f>'fert +pest rates'!Q89</f>
        <v>0.5kg/ha Atrazine; 0.3k/h Diuron</v>
      </c>
      <c r="AF89" s="676">
        <v>0.5</v>
      </c>
      <c r="AG89" s="676">
        <v>0.3</v>
      </c>
      <c r="AK89" s="677"/>
      <c r="AO89" s="679"/>
      <c r="AZ89" s="677"/>
      <c r="BA89" s="685" t="s">
        <v>669</v>
      </c>
      <c r="BB89" s="677"/>
      <c r="BD89" s="540">
        <v>0.35</v>
      </c>
      <c r="BE89" s="541">
        <f t="shared" si="19"/>
        <v>0.35</v>
      </c>
    </row>
    <row r="90" spans="1:52" ht="12.75">
      <c r="A90" s="52"/>
      <c r="C90" s="51"/>
      <c r="D90" s="51"/>
      <c r="E90" s="51"/>
      <c r="F90" s="51"/>
      <c r="G90" s="51"/>
      <c r="H90" s="51"/>
      <c r="I90" s="19"/>
      <c r="AZ90" s="19"/>
    </row>
    <row r="91" spans="1:52" ht="12.75">
      <c r="A91" s="52"/>
      <c r="C91" s="51"/>
      <c r="D91" s="51"/>
      <c r="E91" s="51"/>
      <c r="F91" s="51"/>
      <c r="G91" s="51"/>
      <c r="H91" s="51"/>
      <c r="I91" s="19"/>
      <c r="AZ91" s="19"/>
    </row>
    <row r="92" spans="1:52" ht="12.75">
      <c r="A92" s="52"/>
      <c r="C92" s="51"/>
      <c r="D92" s="51"/>
      <c r="E92" s="51"/>
      <c r="F92" s="51"/>
      <c r="G92" s="51"/>
      <c r="H92" s="51"/>
      <c r="I92" s="19"/>
      <c r="AZ92" s="19"/>
    </row>
    <row r="93" spans="1:52" ht="12.75">
      <c r="A93" s="52"/>
      <c r="C93" s="51"/>
      <c r="D93" s="51"/>
      <c r="E93" s="51"/>
      <c r="F93" s="51"/>
      <c r="G93" s="51"/>
      <c r="H93" s="51"/>
      <c r="I93" s="19"/>
      <c r="AZ93" s="19"/>
    </row>
    <row r="94" spans="1:52" ht="12.75">
      <c r="A94" s="52"/>
      <c r="C94" s="51"/>
      <c r="D94" s="51"/>
      <c r="E94" s="51"/>
      <c r="F94" s="51"/>
      <c r="G94" s="51"/>
      <c r="H94" s="51"/>
      <c r="I94" s="19"/>
      <c r="AZ94" s="19"/>
    </row>
    <row r="95" spans="1:52" ht="12.75">
      <c r="A95" s="52"/>
      <c r="C95" s="51"/>
      <c r="D95" s="51"/>
      <c r="E95" s="51"/>
      <c r="F95" s="51"/>
      <c r="G95" s="51"/>
      <c r="H95" s="51"/>
      <c r="I95" s="19"/>
      <c r="AZ95" s="19"/>
    </row>
    <row r="96" spans="1:52" ht="12.75">
      <c r="A96" s="52"/>
      <c r="C96" s="51"/>
      <c r="D96" s="51"/>
      <c r="E96" s="51"/>
      <c r="F96" s="51"/>
      <c r="G96" s="51"/>
      <c r="H96" s="51"/>
      <c r="I96" s="19"/>
      <c r="AZ96" s="19"/>
    </row>
    <row r="97" spans="1:52" ht="12.75">
      <c r="A97" s="52"/>
      <c r="C97" s="51"/>
      <c r="D97" s="51"/>
      <c r="E97" s="51"/>
      <c r="F97" s="51"/>
      <c r="G97" s="51"/>
      <c r="H97" s="51"/>
      <c r="I97" s="19"/>
      <c r="AZ97" s="19"/>
    </row>
    <row r="98" spans="1:52" ht="12.75">
      <c r="A98" s="52"/>
      <c r="C98" s="51"/>
      <c r="D98" s="51"/>
      <c r="E98" s="51"/>
      <c r="F98" s="51"/>
      <c r="G98" s="51"/>
      <c r="H98" s="51"/>
      <c r="I98" s="19"/>
      <c r="AZ98" s="19"/>
    </row>
    <row r="99" spans="1:52" ht="12.75">
      <c r="A99" s="52"/>
      <c r="C99" s="51"/>
      <c r="D99" s="51"/>
      <c r="E99" s="51"/>
      <c r="F99" s="51"/>
      <c r="G99" s="51"/>
      <c r="H99" s="51"/>
      <c r="I99" s="19"/>
      <c r="AZ99" s="19"/>
    </row>
    <row r="100" spans="1:52" ht="12.75">
      <c r="A100" s="52"/>
      <c r="C100" s="51"/>
      <c r="D100" s="51"/>
      <c r="E100" s="51"/>
      <c r="F100" s="51"/>
      <c r="G100" s="51"/>
      <c r="H100" s="51"/>
      <c r="I100" s="19"/>
      <c r="AZ100" s="19"/>
    </row>
    <row r="101" spans="1:52" ht="12.75">
      <c r="A101" s="52"/>
      <c r="C101" s="51"/>
      <c r="D101" s="51"/>
      <c r="E101" s="51"/>
      <c r="F101" s="51"/>
      <c r="G101" s="51"/>
      <c r="H101" s="51"/>
      <c r="I101" s="19"/>
      <c r="AZ101" s="19"/>
    </row>
    <row r="102" spans="1:52" ht="12.75">
      <c r="A102" s="52"/>
      <c r="C102" s="51"/>
      <c r="D102" s="51"/>
      <c r="E102" s="51"/>
      <c r="F102" s="51"/>
      <c r="G102" s="51"/>
      <c r="H102" s="51"/>
      <c r="I102" s="19"/>
      <c r="AZ102" s="19"/>
    </row>
    <row r="103" spans="1:52" ht="12.75">
      <c r="A103" s="52"/>
      <c r="C103" s="51"/>
      <c r="D103" s="51"/>
      <c r="E103" s="51"/>
      <c r="F103" s="51"/>
      <c r="G103" s="51"/>
      <c r="H103" s="51"/>
      <c r="I103" s="19"/>
      <c r="AZ103" s="19"/>
    </row>
    <row r="104" spans="1:52" ht="12.75">
      <c r="A104" s="52"/>
      <c r="C104" s="51"/>
      <c r="D104" s="51"/>
      <c r="E104" s="51"/>
      <c r="F104" s="51"/>
      <c r="G104" s="51"/>
      <c r="H104" s="51"/>
      <c r="I104" s="19"/>
      <c r="AZ104" s="19"/>
    </row>
    <row r="105" spans="1:52" ht="12.75">
      <c r="A105" s="52"/>
      <c r="C105" s="51"/>
      <c r="D105" s="51"/>
      <c r="E105" s="51"/>
      <c r="F105" s="51"/>
      <c r="G105" s="51"/>
      <c r="H105" s="51"/>
      <c r="I105" s="19"/>
      <c r="AZ105" s="19"/>
    </row>
    <row r="106" ht="12.75">
      <c r="A106" s="50"/>
    </row>
    <row r="107" ht="12.75">
      <c r="A107" s="50"/>
    </row>
    <row r="108" ht="12.75">
      <c r="A108" s="50"/>
    </row>
    <row r="109" ht="12.75">
      <c r="A109" s="50"/>
    </row>
    <row r="110" ht="12.75">
      <c r="A110" s="50"/>
    </row>
    <row r="111" ht="12.75">
      <c r="A111" s="50"/>
    </row>
    <row r="112" ht="12.75">
      <c r="A112" s="50"/>
    </row>
    <row r="113" ht="12.75">
      <c r="A113" s="50"/>
    </row>
    <row r="114" ht="12.75">
      <c r="A114" s="50"/>
    </row>
    <row r="115" ht="12.75">
      <c r="A115" s="50"/>
    </row>
    <row r="116" ht="12.75">
      <c r="A116" s="50"/>
    </row>
    <row r="117" ht="12.75">
      <c r="A117" s="50"/>
    </row>
    <row r="118" ht="12.75">
      <c r="A118" s="50"/>
    </row>
    <row r="119" ht="12.75">
      <c r="A119" s="50"/>
    </row>
    <row r="120" ht="12.75">
      <c r="A120" s="50"/>
    </row>
    <row r="121" ht="12.75">
      <c r="A121" s="50"/>
    </row>
    <row r="122" ht="12.75">
      <c r="A122" s="50"/>
    </row>
    <row r="123" ht="12.75">
      <c r="A123" s="50"/>
    </row>
    <row r="124" ht="12.75">
      <c r="A124" s="50"/>
    </row>
    <row r="125" ht="12.75">
      <c r="A125" s="50"/>
    </row>
    <row r="126" ht="12.75">
      <c r="A126" s="50"/>
    </row>
    <row r="127" ht="12.75">
      <c r="A127" s="50"/>
    </row>
    <row r="128" ht="12.75">
      <c r="A128" s="50"/>
    </row>
    <row r="129" ht="12.75">
      <c r="A129" s="50"/>
    </row>
    <row r="130" ht="12.75">
      <c r="A130" s="50"/>
    </row>
    <row r="131" ht="12.75">
      <c r="A131" s="50"/>
    </row>
    <row r="132" ht="12.75">
      <c r="A132" s="50"/>
    </row>
    <row r="133" ht="12.75">
      <c r="A133" s="50"/>
    </row>
    <row r="134" ht="12.75">
      <c r="A134" s="50"/>
    </row>
    <row r="135" ht="12.75">
      <c r="A135" s="50"/>
    </row>
    <row r="136" ht="12.75">
      <c r="A136" s="50"/>
    </row>
    <row r="137" ht="12.75">
      <c r="A137" s="50"/>
    </row>
    <row r="138" ht="12.75">
      <c r="A138" s="50"/>
    </row>
    <row r="139" ht="12.75">
      <c r="A139" s="50"/>
    </row>
    <row r="140" ht="12.75">
      <c r="A140" s="50"/>
    </row>
    <row r="141" ht="12.75">
      <c r="A141" s="50"/>
    </row>
    <row r="142" ht="12.75">
      <c r="A142" s="50"/>
    </row>
    <row r="143" ht="12.75">
      <c r="A143" s="50"/>
    </row>
    <row r="144" ht="12.75">
      <c r="A144" s="50"/>
    </row>
    <row r="145" ht="12.75">
      <c r="A145" s="50"/>
    </row>
    <row r="146" ht="12.75">
      <c r="A146" s="50"/>
    </row>
    <row r="147" ht="12.75">
      <c r="A147" s="50"/>
    </row>
    <row r="148" ht="12.75">
      <c r="A148" s="50"/>
    </row>
    <row r="149" ht="12.75">
      <c r="A149" s="50"/>
    </row>
    <row r="150" ht="12.75">
      <c r="A150" s="50"/>
    </row>
    <row r="151" ht="12.75">
      <c r="A151" s="50"/>
    </row>
    <row r="152" ht="12.75">
      <c r="A152" s="50"/>
    </row>
    <row r="153" ht="12.75">
      <c r="A153" s="50"/>
    </row>
    <row r="154" ht="12.75">
      <c r="A154" s="50"/>
    </row>
    <row r="155" ht="12.75">
      <c r="A155" s="50"/>
    </row>
    <row r="156" ht="12.75">
      <c r="A156" s="50"/>
    </row>
    <row r="157" ht="12.75">
      <c r="A157" s="50"/>
    </row>
    <row r="158" ht="12.75">
      <c r="A158" s="50"/>
    </row>
    <row r="159" ht="12.75">
      <c r="A159" s="50"/>
    </row>
    <row r="160" ht="12.75">
      <c r="A160" s="50"/>
    </row>
    <row r="161" ht="12.75">
      <c r="A161" s="50"/>
    </row>
    <row r="162" ht="12.75">
      <c r="A162" s="50"/>
    </row>
    <row r="163" ht="12.75">
      <c r="A163" s="50"/>
    </row>
    <row r="164" ht="12.75">
      <c r="A164" s="50"/>
    </row>
    <row r="165" ht="12.75">
      <c r="A165" s="50"/>
    </row>
    <row r="166" ht="12.75">
      <c r="A166" s="50"/>
    </row>
    <row r="167" ht="12.75">
      <c r="A167" s="50"/>
    </row>
    <row r="168" ht="12.75">
      <c r="A168" s="50"/>
    </row>
    <row r="169" ht="12.75">
      <c r="A169" s="50"/>
    </row>
    <row r="170" ht="12.75">
      <c r="A170" s="50"/>
    </row>
    <row r="171" ht="12.75">
      <c r="A171" s="50"/>
    </row>
    <row r="172" ht="12.75">
      <c r="A172" s="50"/>
    </row>
  </sheetData>
  <sheetProtection/>
  <autoFilter ref="A3:K87"/>
  <printOptions/>
  <pageMargins left="0.75" right="0.75" top="1" bottom="1" header="0.5" footer="0.5"/>
  <pageSetup horizontalDpi="300" verticalDpi="300" orientation="portrait" paperSize="9" r:id="rId3"/>
  <legacyDrawing r:id="rId2"/>
</worksheet>
</file>

<file path=xl/worksheets/sheet7.xml><?xml version="1.0" encoding="utf-8"?>
<worksheet xmlns="http://schemas.openxmlformats.org/spreadsheetml/2006/main" xmlns:r="http://schemas.openxmlformats.org/officeDocument/2006/relationships">
  <dimension ref="A1:BJ36"/>
  <sheetViews>
    <sheetView zoomScalePageLayoutView="0" workbookViewId="0" topLeftCell="A1">
      <pane xSplit="4" ySplit="11" topLeftCell="E12" activePane="bottomRight" state="frozen"/>
      <selection pane="topLeft" activeCell="A1" sqref="A1"/>
      <selection pane="topRight" activeCell="E1" sqref="E1"/>
      <selection pane="bottomLeft" activeCell="A12" sqref="A12"/>
      <selection pane="bottomRight" activeCell="D12" sqref="D12:D22"/>
    </sheetView>
  </sheetViews>
  <sheetFormatPr defaultColWidth="9.140625" defaultRowHeight="12.75"/>
  <cols>
    <col min="3" max="3" width="11.28125" style="0" customWidth="1"/>
    <col min="4" max="4" width="16.00390625" style="0" customWidth="1"/>
    <col min="5" max="6" width="11.28125" style="0" customWidth="1"/>
    <col min="7" max="7" width="12.7109375" style="0" customWidth="1"/>
    <col min="8" max="8" width="11.28125" style="0" customWidth="1"/>
    <col min="9" max="9" width="12.8515625" style="0" customWidth="1"/>
    <col min="10" max="10" width="38.421875" style="0" customWidth="1"/>
    <col min="11" max="11" width="22.421875" style="0" customWidth="1"/>
    <col min="12" max="12" width="12.7109375" style="0" customWidth="1"/>
    <col min="13" max="13" width="16.00390625" style="0" customWidth="1"/>
    <col min="14" max="15" width="12.7109375" style="0" customWidth="1"/>
    <col min="16" max="16" width="21.7109375" style="0" customWidth="1"/>
    <col min="17" max="18" width="12.7109375" style="0" customWidth="1"/>
    <col min="19" max="19" width="15.8515625" style="0" customWidth="1"/>
    <col min="20" max="20" width="35.421875" style="0" customWidth="1"/>
    <col min="21" max="47" width="17.7109375" style="0" customWidth="1"/>
    <col min="48" max="48" width="14.28125" style="0" customWidth="1"/>
    <col min="49" max="51" width="15.421875" style="0" customWidth="1"/>
    <col min="52" max="52" width="18.140625" style="0" customWidth="1"/>
    <col min="53" max="53" width="16.421875" style="0" customWidth="1"/>
    <col min="54" max="54" width="16.00390625" style="0" customWidth="1"/>
    <col min="55" max="55" width="15.7109375" style="0" customWidth="1"/>
    <col min="56" max="59" width="18.140625" style="0" customWidth="1"/>
    <col min="60" max="60" width="15.28125" style="0" customWidth="1"/>
    <col min="61" max="61" width="12.57421875" style="0" customWidth="1"/>
    <col min="62" max="62" width="12.421875" style="0" bestFit="1" customWidth="1"/>
  </cols>
  <sheetData>
    <row r="1" spans="2:61" ht="38.25" hidden="1">
      <c r="B1" s="1"/>
      <c r="C1" t="s">
        <v>678</v>
      </c>
      <c r="BH1" s="19" t="s">
        <v>418</v>
      </c>
      <c r="BI1" s="15"/>
    </row>
    <row r="2" spans="2:60" ht="12.75" hidden="1">
      <c r="B2" s="2"/>
      <c r="C2" t="s">
        <v>679</v>
      </c>
      <c r="BH2" s="51"/>
    </row>
    <row r="3" spans="2:60" ht="12.75" hidden="1">
      <c r="B3" s="3"/>
      <c r="C3" t="s">
        <v>680</v>
      </c>
      <c r="BH3" s="51"/>
    </row>
    <row r="4" spans="2:60" ht="12.75" hidden="1">
      <c r="B4" s="4"/>
      <c r="C4" t="s">
        <v>681</v>
      </c>
      <c r="BH4" s="51"/>
    </row>
    <row r="5" spans="2:60" ht="12.75" hidden="1">
      <c r="B5" s="5"/>
      <c r="C5" t="s">
        <v>682</v>
      </c>
      <c r="BH5" s="51"/>
    </row>
    <row r="6" spans="2:60" ht="12.75" customHeight="1" hidden="1">
      <c r="B6" s="6"/>
      <c r="C6" t="s">
        <v>683</v>
      </c>
      <c r="AW6" s="789" t="s">
        <v>685</v>
      </c>
      <c r="AX6" s="7"/>
      <c r="AY6" s="7"/>
      <c r="BH6" s="51"/>
    </row>
    <row r="7" spans="3:61" s="8" customFormat="1" ht="34.5" customHeight="1">
      <c r="C7" s="790" t="s">
        <v>686</v>
      </c>
      <c r="D7" s="790"/>
      <c r="E7" s="790"/>
      <c r="F7" s="790"/>
      <c r="G7" s="790"/>
      <c r="H7" s="790"/>
      <c r="I7" s="790"/>
      <c r="J7" s="790"/>
      <c r="K7" s="790"/>
      <c r="L7" s="9"/>
      <c r="M7" s="9"/>
      <c r="N7" s="10"/>
      <c r="O7" s="10"/>
      <c r="P7" s="10"/>
      <c r="Q7" s="10"/>
      <c r="R7" s="10"/>
      <c r="S7" s="12" t="s">
        <v>449</v>
      </c>
      <c r="T7" s="791" t="s">
        <v>689</v>
      </c>
      <c r="U7" s="791"/>
      <c r="V7" s="791"/>
      <c r="W7" s="791"/>
      <c r="X7" s="791"/>
      <c r="Y7" s="791"/>
      <c r="Z7" s="791"/>
      <c r="AA7" s="791"/>
      <c r="AB7" s="791"/>
      <c r="AC7" s="791"/>
      <c r="AD7" s="791"/>
      <c r="AE7" s="791"/>
      <c r="AF7" s="791"/>
      <c r="AG7" s="791"/>
      <c r="AH7" s="791"/>
      <c r="AI7" s="791"/>
      <c r="AJ7" s="791"/>
      <c r="AK7" s="791"/>
      <c r="AL7" s="791"/>
      <c r="AM7" s="791"/>
      <c r="AN7" s="791"/>
      <c r="AO7" s="791"/>
      <c r="AP7" s="791"/>
      <c r="AQ7" s="791"/>
      <c r="AR7" s="791"/>
      <c r="AS7" s="791"/>
      <c r="AT7" s="791"/>
      <c r="AU7" s="791"/>
      <c r="AV7" s="9" t="s">
        <v>690</v>
      </c>
      <c r="AW7" s="789"/>
      <c r="AX7" s="13" t="s">
        <v>691</v>
      </c>
      <c r="AY7" s="278" t="s">
        <v>187</v>
      </c>
      <c r="BI7"/>
    </row>
    <row r="8" spans="2:61" ht="21.75" customHeight="1">
      <c r="B8" s="15" t="s">
        <v>694</v>
      </c>
      <c r="C8" s="274" t="s">
        <v>695</v>
      </c>
      <c r="D8" s="274"/>
      <c r="E8" s="274"/>
      <c r="F8" s="274"/>
      <c r="G8" s="274"/>
      <c r="H8" s="274"/>
      <c r="I8" s="274"/>
      <c r="J8" s="274"/>
      <c r="K8" s="274" t="s">
        <v>696</v>
      </c>
      <c r="L8" s="274"/>
      <c r="M8" s="274"/>
      <c r="N8" s="275" t="s">
        <v>697</v>
      </c>
      <c r="O8" s="275" t="s">
        <v>698</v>
      </c>
      <c r="P8" s="275" t="s">
        <v>699</v>
      </c>
      <c r="Q8" s="275" t="s">
        <v>700</v>
      </c>
      <c r="R8" s="275" t="s">
        <v>701</v>
      </c>
      <c r="S8" s="274" t="s">
        <v>537</v>
      </c>
      <c r="T8" s="276" t="s">
        <v>354</v>
      </c>
      <c r="U8" s="276" t="s">
        <v>335</v>
      </c>
      <c r="V8" s="276"/>
      <c r="W8" s="276"/>
      <c r="X8" s="276"/>
      <c r="Y8" s="276"/>
      <c r="Z8" s="276"/>
      <c r="AA8" s="276"/>
      <c r="AB8" s="276"/>
      <c r="AC8" s="276" t="s">
        <v>520</v>
      </c>
      <c r="AD8" s="276" t="s">
        <v>521</v>
      </c>
      <c r="AE8" s="276" t="s">
        <v>522</v>
      </c>
      <c r="AF8" s="18" t="s">
        <v>25</v>
      </c>
      <c r="AG8" s="18" t="s">
        <v>25</v>
      </c>
      <c r="AH8" s="18"/>
      <c r="AI8" s="18" t="s">
        <v>25</v>
      </c>
      <c r="AJ8" s="18" t="s">
        <v>26</v>
      </c>
      <c r="AK8" s="18" t="s">
        <v>26</v>
      </c>
      <c r="AL8" s="18" t="s">
        <v>26</v>
      </c>
      <c r="AM8" s="276" t="s">
        <v>539</v>
      </c>
      <c r="AN8" s="276" t="s">
        <v>540</v>
      </c>
      <c r="AO8" s="276"/>
      <c r="AP8" s="276"/>
      <c r="AQ8" s="276"/>
      <c r="AR8" s="276"/>
      <c r="AS8" s="276"/>
      <c r="AT8" s="276"/>
      <c r="AU8" s="276"/>
      <c r="AV8" s="274" t="s">
        <v>711</v>
      </c>
      <c r="AW8" s="274" t="s">
        <v>712</v>
      </c>
      <c r="AX8" s="274" t="s">
        <v>713</v>
      </c>
      <c r="AZ8" s="274" t="s">
        <v>714</v>
      </c>
      <c r="BA8" s="274" t="s">
        <v>715</v>
      </c>
      <c r="BB8" s="280"/>
      <c r="BC8" s="274" t="s">
        <v>716</v>
      </c>
      <c r="BD8" s="278" t="s">
        <v>485</v>
      </c>
      <c r="BE8" s="278" t="s">
        <v>480</v>
      </c>
      <c r="BF8" s="278" t="s">
        <v>462</v>
      </c>
      <c r="BG8" s="278" t="s">
        <v>523</v>
      </c>
      <c r="BH8" s="19" t="s">
        <v>718</v>
      </c>
      <c r="BI8" s="15"/>
    </row>
    <row r="9" spans="2:62" ht="76.5">
      <c r="B9" s="20" t="s">
        <v>719</v>
      </c>
      <c r="C9" s="266" t="s">
        <v>720</v>
      </c>
      <c r="D9" s="267" t="s">
        <v>332</v>
      </c>
      <c r="E9" s="267" t="s">
        <v>451</v>
      </c>
      <c r="F9" s="267" t="s">
        <v>452</v>
      </c>
      <c r="G9" s="267" t="s">
        <v>453</v>
      </c>
      <c r="H9" s="267" t="s">
        <v>454</v>
      </c>
      <c r="I9" s="267" t="s">
        <v>455</v>
      </c>
      <c r="J9" s="267" t="s">
        <v>456</v>
      </c>
      <c r="K9" s="266" t="s">
        <v>721</v>
      </c>
      <c r="L9" s="266" t="s">
        <v>460</v>
      </c>
      <c r="M9" s="266" t="s">
        <v>459</v>
      </c>
      <c r="N9" s="266" t="s">
        <v>722</v>
      </c>
      <c r="O9" s="266" t="s">
        <v>723</v>
      </c>
      <c r="P9" s="266" t="s">
        <v>724</v>
      </c>
      <c r="Q9" s="266" t="s">
        <v>725</v>
      </c>
      <c r="R9" s="266" t="s">
        <v>726</v>
      </c>
      <c r="S9" s="268" t="s">
        <v>538</v>
      </c>
      <c r="T9" s="268" t="s">
        <v>728</v>
      </c>
      <c r="U9" s="268" t="s">
        <v>338</v>
      </c>
      <c r="V9" s="22" t="s">
        <v>429</v>
      </c>
      <c r="W9" s="15" t="s">
        <v>432</v>
      </c>
      <c r="X9" s="15" t="s">
        <v>16</v>
      </c>
      <c r="Y9" s="15" t="s">
        <v>17</v>
      </c>
      <c r="Z9" s="15" t="s">
        <v>18</v>
      </c>
      <c r="AA9" s="15" t="s">
        <v>19</v>
      </c>
      <c r="AB9" s="268" t="s">
        <v>731</v>
      </c>
      <c r="AC9" s="268" t="s">
        <v>732</v>
      </c>
      <c r="AD9" s="268" t="s">
        <v>732</v>
      </c>
      <c r="AE9" s="268" t="s">
        <v>522</v>
      </c>
      <c r="AF9" s="22" t="s">
        <v>20</v>
      </c>
      <c r="AG9" s="22" t="s">
        <v>22</v>
      </c>
      <c r="AH9" s="22" t="s">
        <v>68</v>
      </c>
      <c r="AI9" s="22" t="s">
        <v>28</v>
      </c>
      <c r="AJ9" s="22" t="s">
        <v>20</v>
      </c>
      <c r="AK9" s="22" t="s">
        <v>22</v>
      </c>
      <c r="AL9" s="22" t="s">
        <v>28</v>
      </c>
      <c r="AM9" s="266" t="s">
        <v>362</v>
      </c>
      <c r="AN9" s="266" t="s">
        <v>362</v>
      </c>
      <c r="AO9" s="22" t="s">
        <v>20</v>
      </c>
      <c r="AP9" s="22" t="s">
        <v>22</v>
      </c>
      <c r="AQ9" s="22" t="s">
        <v>68</v>
      </c>
      <c r="AR9" s="22" t="s">
        <v>28</v>
      </c>
      <c r="AS9" s="22" t="s">
        <v>20</v>
      </c>
      <c r="AT9" s="22" t="s">
        <v>22</v>
      </c>
      <c r="AU9" s="22" t="s">
        <v>28</v>
      </c>
      <c r="AV9" s="266" t="s">
        <v>73</v>
      </c>
      <c r="AW9" s="269" t="s">
        <v>735</v>
      </c>
      <c r="AX9" s="269"/>
      <c r="AY9" s="269"/>
      <c r="AZ9" s="269" t="s">
        <v>714</v>
      </c>
      <c r="BA9" s="269" t="s">
        <v>715</v>
      </c>
      <c r="BB9" s="269" t="s">
        <v>331</v>
      </c>
      <c r="BC9" s="266" t="s">
        <v>333</v>
      </c>
      <c r="BD9" s="269" t="s">
        <v>737</v>
      </c>
      <c r="BE9" s="269" t="s">
        <v>482</v>
      </c>
      <c r="BF9" s="269" t="s">
        <v>463</v>
      </c>
      <c r="BG9" s="269" t="s">
        <v>483</v>
      </c>
      <c r="BH9" s="433" t="s">
        <v>418</v>
      </c>
      <c r="BI9" s="23" t="s">
        <v>687</v>
      </c>
      <c r="BJ9" s="307" t="s">
        <v>419</v>
      </c>
    </row>
    <row r="10" spans="2:62" ht="70.5" customHeight="1">
      <c r="B10" s="24"/>
      <c r="C10" s="269" t="s">
        <v>695</v>
      </c>
      <c r="D10" s="269" t="s">
        <v>816</v>
      </c>
      <c r="E10" s="269"/>
      <c r="F10" s="269"/>
      <c r="G10" s="269"/>
      <c r="H10" s="269"/>
      <c r="I10" s="269"/>
      <c r="J10" s="269"/>
      <c r="K10" s="269" t="s">
        <v>458</v>
      </c>
      <c r="L10" s="269"/>
      <c r="M10" s="269"/>
      <c r="N10" s="269" t="s">
        <v>738</v>
      </c>
      <c r="O10" s="269" t="s">
        <v>739</v>
      </c>
      <c r="P10" s="269" t="s">
        <v>740</v>
      </c>
      <c r="Q10" s="269" t="s">
        <v>755</v>
      </c>
      <c r="R10" s="269" t="s">
        <v>756</v>
      </c>
      <c r="S10" s="270"/>
      <c r="T10" s="269" t="s">
        <v>758</v>
      </c>
      <c r="U10" s="269" t="s">
        <v>759</v>
      </c>
      <c r="V10" s="15" t="s">
        <v>430</v>
      </c>
      <c r="W10" s="15"/>
      <c r="X10" s="15"/>
      <c r="Y10" s="15"/>
      <c r="Z10" s="15"/>
      <c r="AA10" s="15"/>
      <c r="AB10" s="269" t="s">
        <v>760</v>
      </c>
      <c r="AC10" s="269" t="s">
        <v>761</v>
      </c>
      <c r="AD10" s="269" t="s">
        <v>761</v>
      </c>
      <c r="AE10" s="16" t="s">
        <v>657</v>
      </c>
      <c r="AF10" s="15" t="s">
        <v>21</v>
      </c>
      <c r="AG10" s="15" t="s">
        <v>23</v>
      </c>
      <c r="AH10" s="15" t="s">
        <v>69</v>
      </c>
      <c r="AI10" s="15" t="s">
        <v>24</v>
      </c>
      <c r="AJ10" s="15" t="s">
        <v>27</v>
      </c>
      <c r="AK10" s="15" t="s">
        <v>23</v>
      </c>
      <c r="AL10" s="15" t="s">
        <v>24</v>
      </c>
      <c r="AM10" s="272" t="s">
        <v>363</v>
      </c>
      <c r="AN10" s="272" t="s">
        <v>363</v>
      </c>
      <c r="AO10" s="15" t="s">
        <v>21</v>
      </c>
      <c r="AP10" s="15" t="s">
        <v>23</v>
      </c>
      <c r="AQ10" s="15" t="s">
        <v>69</v>
      </c>
      <c r="AR10" s="15" t="s">
        <v>24</v>
      </c>
      <c r="AS10" s="15" t="s">
        <v>27</v>
      </c>
      <c r="AT10" s="15" t="s">
        <v>23</v>
      </c>
      <c r="AU10" s="15" t="s">
        <v>24</v>
      </c>
      <c r="AV10" s="271" t="s">
        <v>763</v>
      </c>
      <c r="AW10" s="272" t="s">
        <v>764</v>
      </c>
      <c r="AX10" s="273" t="s">
        <v>765</v>
      </c>
      <c r="AY10" s="273"/>
      <c r="AZ10" s="270" t="s">
        <v>766</v>
      </c>
      <c r="BA10" s="270" t="s">
        <v>767</v>
      </c>
      <c r="BB10" s="270" t="s">
        <v>767</v>
      </c>
      <c r="BC10" s="270" t="s">
        <v>768</v>
      </c>
      <c r="BD10" s="269" t="s">
        <v>486</v>
      </c>
      <c r="BE10" s="269" t="s">
        <v>530</v>
      </c>
      <c r="BF10" s="269" t="s">
        <v>464</v>
      </c>
      <c r="BG10" s="269" t="s">
        <v>530</v>
      </c>
      <c r="BH10" s="434" t="s">
        <v>420</v>
      </c>
      <c r="BI10" s="25"/>
      <c r="BJ10" s="19" t="s">
        <v>421</v>
      </c>
    </row>
    <row r="11" spans="1:61" ht="51">
      <c r="A11" s="288" t="s">
        <v>1114</v>
      </c>
      <c r="C11" s="28" t="s">
        <v>770</v>
      </c>
      <c r="D11" s="28"/>
      <c r="E11" s="28"/>
      <c r="F11" s="28"/>
      <c r="G11" s="28"/>
      <c r="H11" s="28"/>
      <c r="I11" s="28"/>
      <c r="J11" s="28"/>
      <c r="K11" s="28" t="s">
        <v>770</v>
      </c>
      <c r="L11" s="28"/>
      <c r="M11" s="28"/>
      <c r="N11" s="29"/>
      <c r="O11" s="29"/>
      <c r="P11" s="29"/>
      <c r="Q11" s="29"/>
      <c r="R11" s="29"/>
      <c r="S11" s="28"/>
      <c r="T11" s="28"/>
      <c r="U11" s="28"/>
      <c r="V11" s="28"/>
      <c r="W11" s="28"/>
      <c r="X11" s="28"/>
      <c r="Y11" s="28"/>
      <c r="Z11" s="28"/>
      <c r="AA11" s="28"/>
      <c r="AB11" s="28"/>
      <c r="AC11" s="28"/>
      <c r="AD11" s="28"/>
      <c r="AE11" s="28"/>
      <c r="AF11" s="28" t="s">
        <v>771</v>
      </c>
      <c r="AG11" s="28" t="s">
        <v>771</v>
      </c>
      <c r="AH11" s="28" t="s">
        <v>72</v>
      </c>
      <c r="AI11" s="28" t="s">
        <v>72</v>
      </c>
      <c r="AJ11" s="28"/>
      <c r="AK11" s="28"/>
      <c r="AL11" s="28"/>
      <c r="AM11" s="28" t="s">
        <v>364</v>
      </c>
      <c r="AN11" s="28"/>
      <c r="AO11" s="28" t="s">
        <v>771</v>
      </c>
      <c r="AP11" s="28" t="s">
        <v>771</v>
      </c>
      <c r="AQ11" s="28" t="s">
        <v>72</v>
      </c>
      <c r="AR11" s="28" t="s">
        <v>72</v>
      </c>
      <c r="AS11" s="28"/>
      <c r="AT11" s="28"/>
      <c r="AU11" s="28"/>
      <c r="AV11" s="28" t="s">
        <v>770</v>
      </c>
      <c r="AW11" s="28"/>
      <c r="AX11" s="30" t="s">
        <v>684</v>
      </c>
      <c r="AY11" s="30"/>
      <c r="AZ11" s="28"/>
      <c r="BA11" s="28"/>
      <c r="BB11" s="28"/>
      <c r="BC11" s="28"/>
      <c r="BD11" s="437" t="s">
        <v>582</v>
      </c>
      <c r="BE11" s="27"/>
      <c r="BF11" s="437" t="s">
        <v>583</v>
      </c>
      <c r="BG11" s="27"/>
      <c r="BH11" s="436" t="s">
        <v>422</v>
      </c>
      <c r="BI11" s="31" t="s">
        <v>757</v>
      </c>
    </row>
    <row r="12" spans="1:62" ht="19.5" customHeight="1">
      <c r="A12">
        <v>10</v>
      </c>
      <c r="B12" s="161" t="str">
        <f>'Data entry'!A10</f>
        <v>8b</v>
      </c>
      <c r="C12" s="116">
        <f>'Data entry'!B10</f>
        <v>8</v>
      </c>
      <c r="D12" s="161" t="str">
        <f>'Data entry'!C10</f>
        <v>Name removed</v>
      </c>
      <c r="E12" s="161" t="str">
        <f>'Data entry'!D10</f>
        <v>Cane</v>
      </c>
      <c r="F12" s="279">
        <f>'Data entry'!E10</f>
        <v>25000</v>
      </c>
      <c r="G12" s="279">
        <f>'Data entry'!F10</f>
        <v>10000</v>
      </c>
      <c r="H12" s="279">
        <f>'Data entry'!G10</f>
        <v>15000</v>
      </c>
      <c r="I12" s="216">
        <f>'Data entry'!H10</f>
        <v>0.6</v>
      </c>
      <c r="J12" s="215" t="str">
        <f>'Data entry'!I10</f>
        <v>Legume Planter</v>
      </c>
      <c r="K12" s="217" t="str">
        <f>'Data entry'!J10</f>
        <v>Lot number removed</v>
      </c>
      <c r="L12" s="217">
        <f>'Data entry'!K10</f>
        <v>0</v>
      </c>
      <c r="M12" s="33" t="s">
        <v>43</v>
      </c>
      <c r="N12" s="115">
        <f>'Data entry'!L10</f>
        <v>0</v>
      </c>
      <c r="O12" s="115">
        <f>'Data entry'!M10</f>
        <v>0</v>
      </c>
      <c r="P12" s="115">
        <f>'Data entry'!N10</f>
        <v>3</v>
      </c>
      <c r="Q12" s="115">
        <f>'Data entry'!O10</f>
        <v>5</v>
      </c>
      <c r="R12" s="157">
        <f>'Data entry'!P10</f>
        <v>0.5</v>
      </c>
      <c r="S12" s="93">
        <f>'current bses'!R10+'current bses'!U10+'current bses'!X10</f>
        <v>8.8</v>
      </c>
      <c r="T12" s="455" t="str">
        <f>'Data entry'!I10</f>
        <v>Legume Planter</v>
      </c>
      <c r="U12" s="34">
        <f>'Data entry'!AD10</f>
        <v>219</v>
      </c>
      <c r="V12" s="125">
        <f>'thorburn clases'!D10</f>
        <v>4</v>
      </c>
      <c r="W12" s="125">
        <f>'N movement slave'!G10</f>
        <v>202</v>
      </c>
      <c r="X12" s="125">
        <f>'N movement slave'!H10</f>
        <v>1510</v>
      </c>
      <c r="Y12" s="125">
        <f>'N movement slave'!I10</f>
        <v>87</v>
      </c>
      <c r="Z12" s="125">
        <f>'N movement slave'!J10</f>
        <v>358</v>
      </c>
      <c r="AA12" s="125">
        <f>'N movement slave'!K10</f>
        <v>3</v>
      </c>
      <c r="AB12" s="37">
        <f>1-0.15*S12/50</f>
        <v>0.9736</v>
      </c>
      <c r="AC12" s="106">
        <f>'Data entry'!X10</f>
        <v>158.08</v>
      </c>
      <c r="AD12" s="106">
        <f>'Data entry'!Y10</f>
        <v>227</v>
      </c>
      <c r="AE12" s="36">
        <v>0.2</v>
      </c>
      <c r="AF12" s="35">
        <f>($Y12+$AA12)*(AC12*$AE12+AD12*(1-$AE12))/$W12</f>
        <v>94.9972277227723</v>
      </c>
      <c r="AG12" s="35">
        <f>AF12*$AA12/($Y12+$AA12)</f>
        <v>3.1665742574257427</v>
      </c>
      <c r="AH12" s="35">
        <f>(AF12-AG12)*$U12*$AB12</f>
        <v>19579.98500283565</v>
      </c>
      <c r="AI12" s="35">
        <f>AG12*$U12*$AB12</f>
        <v>675.171896649505</v>
      </c>
      <c r="AJ12" s="35">
        <f>((AC12*$AE12+AD12*(1-$AE12))-$W12)*0.5+$Y12+$AA12</f>
        <v>95.60800000000002</v>
      </c>
      <c r="AK12" s="35">
        <f>AJ12*$AA12/($Y12+$AA12)</f>
        <v>3.186933333333334</v>
      </c>
      <c r="AL12" s="35">
        <f>AK12*$U12*$AB12</f>
        <v>679.5128262400001</v>
      </c>
      <c r="AM12" s="34">
        <f>0.5*AC12</f>
        <v>79.04</v>
      </c>
      <c r="AN12" s="613">
        <f>AD12</f>
        <v>227</v>
      </c>
      <c r="AO12" s="35">
        <f>($Y12+$AA12)*(AM12*$AE12+AN12*(1-$AE12))/$W12</f>
        <v>87.9540594059406</v>
      </c>
      <c r="AP12" s="35">
        <f>AO12*$AA12/($Y12+$AA12)</f>
        <v>2.9318019801980197</v>
      </c>
      <c r="AQ12" s="35">
        <f>(AO12-AP12)*$U12*$AB12</f>
        <v>18128.309692704952</v>
      </c>
      <c r="AR12" s="35">
        <f>AP12*$U12*$AB12</f>
        <v>625.1141273346534</v>
      </c>
      <c r="AS12" s="35">
        <f>((AM12*$AE12+AN12*(1-$AE12))-$W12)*0.5+$Y12+$AA12</f>
        <v>87.70400000000001</v>
      </c>
      <c r="AT12" s="35">
        <f>AS12*$AA12/($Y12+$AA12)</f>
        <v>2.923466666666667</v>
      </c>
      <c r="AU12" s="35">
        <f>AT12*$U12*$AB12</f>
        <v>623.3368851200001</v>
      </c>
      <c r="AV12" s="38">
        <f>(AI12-AR12)+0.1*(AH12-AQ12)</f>
        <v>195.2253003279213</v>
      </c>
      <c r="AW12" s="39">
        <v>2.5</v>
      </c>
      <c r="AX12" s="40">
        <v>1</v>
      </c>
      <c r="AY12" s="38">
        <f>AV12*AW12*AX12</f>
        <v>488.0632508198033</v>
      </c>
      <c r="AZ12" s="41">
        <v>7460</v>
      </c>
      <c r="BA12" s="41">
        <v>401</v>
      </c>
      <c r="BB12" s="41">
        <f aca="true" t="shared" si="0" ref="BB12:BB20">AZ12+BA12</f>
        <v>7861</v>
      </c>
      <c r="BC12" s="42">
        <f aca="true" t="shared" si="1" ref="BC12:BC20">AV12*AW12*AX12/1000/BB12</f>
        <v>6.20866621065772E-05</v>
      </c>
      <c r="BD12" s="432">
        <f>'Verification score'!M10</f>
        <v>0.6483333333333333</v>
      </c>
      <c r="BE12" s="107">
        <f>'Data entry'!$AU$3</f>
        <v>0.1</v>
      </c>
      <c r="BF12" s="432">
        <f>'future bses'!AI10</f>
        <v>0.002499999999999976</v>
      </c>
      <c r="BG12" s="107">
        <f>'Data entry'!$AV$3</f>
        <v>0.05</v>
      </c>
      <c r="BH12" s="43">
        <f>BC12*(1+BD12*BE12)*(1+BF12*BG12)*100</f>
        <v>0.006612021135990776</v>
      </c>
      <c r="BI12" s="555">
        <f>H12</f>
        <v>15000</v>
      </c>
      <c r="BJ12">
        <f>BH12/BI12</f>
        <v>4.4080140906605174E-07</v>
      </c>
    </row>
    <row r="13" spans="1:62" ht="27.75" customHeight="1">
      <c r="A13">
        <v>41</v>
      </c>
      <c r="B13" s="214">
        <f>'Data entry'!A41</f>
        <v>47</v>
      </c>
      <c r="C13" s="115">
        <f>'Data entry'!B41</f>
        <v>39</v>
      </c>
      <c r="D13" s="161" t="str">
        <f>'Data entry'!C41</f>
        <v>Name removed</v>
      </c>
      <c r="E13" s="161" t="str">
        <f>'Data entry'!D41</f>
        <v>Cane</v>
      </c>
      <c r="F13" s="279">
        <f>'Data entry'!E41</f>
        <v>17000</v>
      </c>
      <c r="G13" s="279">
        <f>'Data entry'!F41</f>
        <v>10000</v>
      </c>
      <c r="H13" s="279">
        <f>'Data entry'!G41</f>
        <v>7000</v>
      </c>
      <c r="I13" s="216">
        <f>'Data entry'!H41</f>
        <v>0.4117647058823529</v>
      </c>
      <c r="J13" s="215" t="str">
        <f>'Data entry'!I41</f>
        <v>Legume Planter</v>
      </c>
      <c r="K13" s="217" t="str">
        <f>'Data entry'!J41</f>
        <v>Lot number removed</v>
      </c>
      <c r="L13" s="217">
        <f>'Data entry'!K41</f>
        <v>0</v>
      </c>
      <c r="M13" s="33" t="s">
        <v>43</v>
      </c>
      <c r="N13" s="115">
        <f>'Data entry'!L41</f>
        <v>0</v>
      </c>
      <c r="O13" s="115">
        <f>'Data entry'!M41</f>
        <v>0</v>
      </c>
      <c r="P13" s="115">
        <f>'Data entry'!N41</f>
        <v>2</v>
      </c>
      <c r="Q13" s="115">
        <f>'Data entry'!O41</f>
        <v>5</v>
      </c>
      <c r="R13" s="157">
        <f>'Data entry'!P41</f>
        <v>0.5</v>
      </c>
      <c r="S13" s="93">
        <f>'current bses'!R41+'current bses'!U41+'current bses'!X41</f>
        <v>25</v>
      </c>
      <c r="T13" s="455" t="str">
        <f>'Data entry'!I41</f>
        <v>Legume Planter</v>
      </c>
      <c r="U13" s="34">
        <f>'Data entry'!AD41</f>
        <v>204.54545454545453</v>
      </c>
      <c r="V13" s="125">
        <f>'thorburn clases'!D41</f>
        <v>2</v>
      </c>
      <c r="W13" s="125">
        <f>'N movement slave'!G41</f>
        <v>120</v>
      </c>
      <c r="X13" s="125">
        <f>'N movement slave'!H41</f>
        <v>457</v>
      </c>
      <c r="Y13" s="125">
        <f>'N movement slave'!I41</f>
        <v>8</v>
      </c>
      <c r="Z13" s="125">
        <f>'N movement slave'!J41</f>
        <v>1237</v>
      </c>
      <c r="AA13" s="125">
        <f>'N movement slave'!K41</f>
        <v>13</v>
      </c>
      <c r="AB13" s="37">
        <f aca="true" t="shared" si="2" ref="AB13:AB20">1-0.15*S13/50</f>
        <v>0.925</v>
      </c>
      <c r="AC13" s="106">
        <f>'Data entry'!X41</f>
        <v>216.588125</v>
      </c>
      <c r="AD13" s="106">
        <f>'Data entry'!Y41</f>
        <v>227.24</v>
      </c>
      <c r="AE13" s="36">
        <v>0.2</v>
      </c>
      <c r="AF13" s="35">
        <f aca="true" t="shared" si="3" ref="AF13:AF21">($Y13+$AA13)*(AC13*$AE13+AD13*(1-$AE13))/$W13</f>
        <v>39.394184375</v>
      </c>
      <c r="AG13" s="35">
        <f aca="true" t="shared" si="4" ref="AG13:AG20">AF13*AA13/(Y13+AA13)</f>
        <v>24.386876041666667</v>
      </c>
      <c r="AH13" s="35">
        <f aca="true" t="shared" si="5" ref="AH13:AH20">(AF13-AG13)*$U13*$AB13</f>
        <v>2839.4509517045453</v>
      </c>
      <c r="AI13" s="35">
        <f aca="true" t="shared" si="6" ref="AI13:AI20">AG13*U13*AB13</f>
        <v>4614.1077965198865</v>
      </c>
      <c r="AJ13" s="35">
        <f aca="true" t="shared" si="7" ref="AJ13:AJ20">((AC13*AE13+AD13*(1-AE13))-W13)*0.5+Y13+AA13</f>
        <v>73.55481250000001</v>
      </c>
      <c r="AK13" s="35">
        <f aca="true" t="shared" si="8" ref="AK13:AK20">AJ13*AA13/(Y13+AA13)</f>
        <v>45.533931547619055</v>
      </c>
      <c r="AL13" s="35">
        <f aca="true" t="shared" si="9" ref="AL13:AL20">AK13*U13*AB13</f>
        <v>8615.226821225651</v>
      </c>
      <c r="AM13" s="34">
        <v>0</v>
      </c>
      <c r="AN13" s="613">
        <f>AD13</f>
        <v>227.24</v>
      </c>
      <c r="AO13" s="35">
        <f aca="true" t="shared" si="10" ref="AO13:AO20">($Y13+$AA13)*(AM13*$AE13+AN13*(1-$AE13))/$W13</f>
        <v>31.813600000000005</v>
      </c>
      <c r="AP13" s="35">
        <f aca="true" t="shared" si="11" ref="AP13:AP21">AO13*$AA13/($Y13+$AA13)</f>
        <v>19.694133333333337</v>
      </c>
      <c r="AQ13" s="35">
        <f aca="true" t="shared" si="12" ref="AQ13:AQ20">(AO13-AP13)*$U13*$AB13</f>
        <v>2293.0581818181818</v>
      </c>
      <c r="AR13" s="35">
        <f aca="true" t="shared" si="13" ref="AR13:AR20">AP13*$U13*$AB13</f>
        <v>3726.2195454545463</v>
      </c>
      <c r="AS13" s="35">
        <f aca="true" t="shared" si="14" ref="AS13:AS20">((AM13*$AE13+AN13*(1-$AE13))-$W13)*0.5+$Y13+$AA13</f>
        <v>51.896000000000015</v>
      </c>
      <c r="AT13" s="35">
        <f aca="true" t="shared" si="15" ref="AT13:AT21">AS13*$AA13/($Y13+$AA13)</f>
        <v>32.126095238095246</v>
      </c>
      <c r="AU13" s="35">
        <f aca="true" t="shared" si="16" ref="AU13:AU21">AT13*$U13*$AB13</f>
        <v>6078.403246753248</v>
      </c>
      <c r="AV13" s="38">
        <f aca="true" t="shared" si="17" ref="AV13:AV20">(AI13-AR13)+0.1*(AH13-AQ13)</f>
        <v>942.5275280539765</v>
      </c>
      <c r="AW13" s="39">
        <v>2.5</v>
      </c>
      <c r="AX13" s="40">
        <v>1</v>
      </c>
      <c r="AY13" s="38">
        <f aca="true" t="shared" si="18" ref="AY13:AY21">AV13*AW13*AX13</f>
        <v>2356.3188201349412</v>
      </c>
      <c r="AZ13" s="41">
        <v>7460</v>
      </c>
      <c r="BA13" s="41">
        <v>401</v>
      </c>
      <c r="BB13" s="41">
        <f t="shared" si="0"/>
        <v>7861</v>
      </c>
      <c r="BC13" s="42">
        <f t="shared" si="1"/>
        <v>0.000299747973557428</v>
      </c>
      <c r="BD13" s="432">
        <f>'Verification score'!M41</f>
        <v>0.57375</v>
      </c>
      <c r="BE13" s="107">
        <f>'Data entry'!$AU$3</f>
        <v>0.1</v>
      </c>
      <c r="BF13" s="432">
        <f>'future bses'!AI41</f>
        <v>0.008124999999999997</v>
      </c>
      <c r="BG13" s="107">
        <f>'Data entry'!$AV$3</f>
        <v>0.05</v>
      </c>
      <c r="BH13" s="43">
        <f aca="true" t="shared" si="19" ref="BH13:BH20">BC13*(1+BD13*BE13)*(1+BF13*BG13)*100</f>
        <v>0.031707477285828616</v>
      </c>
      <c r="BI13" s="555">
        <f aca="true" t="shared" si="20" ref="BI13:BI20">H13</f>
        <v>7000</v>
      </c>
      <c r="BJ13">
        <f aca="true" t="shared" si="21" ref="BJ13:BJ20">BH13/BI13</f>
        <v>4.529639612261231E-06</v>
      </c>
    </row>
    <row r="14" spans="1:62" ht="19.5" customHeight="1">
      <c r="A14">
        <v>49</v>
      </c>
      <c r="B14" s="214">
        <f>'Data entry'!A49</f>
        <v>59</v>
      </c>
      <c r="C14" s="115">
        <f>'Data entry'!B49</f>
        <v>47</v>
      </c>
      <c r="D14" s="161" t="str">
        <f>'Data entry'!C49</f>
        <v>Name removed</v>
      </c>
      <c r="E14" s="161" t="str">
        <f>'Data entry'!D49</f>
        <v>Cane</v>
      </c>
      <c r="F14" s="279">
        <f>'Data entry'!E49</f>
        <v>20000</v>
      </c>
      <c r="G14" s="279">
        <f>'Data entry'!F49</f>
        <v>10000</v>
      </c>
      <c r="H14" s="279">
        <f>'Data entry'!G49</f>
        <v>10000</v>
      </c>
      <c r="I14" s="216">
        <f>'Data entry'!H49</f>
        <v>0.5</v>
      </c>
      <c r="J14" s="215" t="str">
        <f>'Data entry'!I49</f>
        <v>Stool Splitter</v>
      </c>
      <c r="K14" s="217" t="str">
        <f>'Data entry'!J49</f>
        <v>Lot number removed</v>
      </c>
      <c r="L14" s="217" t="str">
        <f>'Data entry'!K49</f>
        <v>Ayr</v>
      </c>
      <c r="M14" s="33" t="str">
        <f>'Data entry'!T49</f>
        <v>Allow 15 - 25% reduction in N, 2.5 years for capital works</v>
      </c>
      <c r="N14" s="115">
        <f>'Data entry'!L49</f>
        <v>0</v>
      </c>
      <c r="O14" s="115">
        <f>'Data entry'!M49</f>
        <v>0</v>
      </c>
      <c r="P14" s="115">
        <f>'Data entry'!N49</f>
        <v>3</v>
      </c>
      <c r="Q14" s="115">
        <f>'Data entry'!O49</f>
        <v>5</v>
      </c>
      <c r="R14" s="157">
        <f>'Data entry'!P49</f>
        <v>0</v>
      </c>
      <c r="S14" s="93">
        <f>'current bses'!R49+'current bses'!U49+'current bses'!X49</f>
        <v>31.8</v>
      </c>
      <c r="T14" s="455" t="str">
        <f>'Data entry'!I49</f>
        <v>Stool Splitter</v>
      </c>
      <c r="U14" s="34">
        <f>'Data entry'!AD49</f>
        <v>125</v>
      </c>
      <c r="V14" s="125">
        <f>'thorburn clases'!D49</f>
        <v>3</v>
      </c>
      <c r="W14" s="125">
        <f>'N movement slave'!G49</f>
        <v>174</v>
      </c>
      <c r="X14" s="125">
        <f>'N movement slave'!H49</f>
        <v>1585</v>
      </c>
      <c r="Y14" s="125">
        <f>'N movement slave'!I49</f>
        <v>78</v>
      </c>
      <c r="Z14" s="125">
        <f>'N movement slave'!J49</f>
        <v>311</v>
      </c>
      <c r="AA14" s="125">
        <f>'N movement slave'!K49</f>
        <v>2</v>
      </c>
      <c r="AB14" s="37">
        <f t="shared" si="2"/>
        <v>0.9046000000000001</v>
      </c>
      <c r="AC14" s="106">
        <f>'Data entry'!X49</f>
        <v>193.7715</v>
      </c>
      <c r="AD14" s="106">
        <f>'Data entry'!Y49</f>
        <v>201.55200000000002</v>
      </c>
      <c r="AE14" s="36">
        <v>0.2</v>
      </c>
      <c r="AF14" s="35">
        <f t="shared" si="3"/>
        <v>91.9521379310345</v>
      </c>
      <c r="AG14" s="35">
        <f t="shared" si="4"/>
        <v>2.2988034482758626</v>
      </c>
      <c r="AH14" s="35">
        <f t="shared" si="5"/>
        <v>10137.550796637934</v>
      </c>
      <c r="AI14" s="35">
        <f t="shared" si="6"/>
        <v>259.93719991379317</v>
      </c>
      <c r="AJ14" s="35">
        <f t="shared" si="7"/>
        <v>92.99795000000002</v>
      </c>
      <c r="AK14" s="35">
        <f t="shared" si="8"/>
        <v>2.3249487500000003</v>
      </c>
      <c r="AL14" s="35">
        <f t="shared" si="9"/>
        <v>262.89357990625007</v>
      </c>
      <c r="AM14" s="34">
        <f>0.15*AC14</f>
        <v>29.065725</v>
      </c>
      <c r="AN14" s="613">
        <f>AD14</f>
        <v>201.55200000000002</v>
      </c>
      <c r="AO14" s="35">
        <f t="shared" si="10"/>
        <v>76.80677931034484</v>
      </c>
      <c r="AP14" s="35">
        <f t="shared" si="11"/>
        <v>1.9201694827586209</v>
      </c>
      <c r="AQ14" s="35">
        <f t="shared" si="12"/>
        <v>8467.803406254312</v>
      </c>
      <c r="AR14" s="35">
        <f t="shared" si="13"/>
        <v>217.12316426293108</v>
      </c>
      <c r="AS14" s="35">
        <f t="shared" si="14"/>
        <v>76.52737250000001</v>
      </c>
      <c r="AT14" s="35">
        <f t="shared" si="15"/>
        <v>1.9131843125000003</v>
      </c>
      <c r="AU14" s="35">
        <f t="shared" si="16"/>
        <v>216.33331613593754</v>
      </c>
      <c r="AV14" s="38">
        <f t="shared" si="17"/>
        <v>209.78877468922425</v>
      </c>
      <c r="AW14" s="39">
        <v>2.5</v>
      </c>
      <c r="AX14" s="40">
        <v>1</v>
      </c>
      <c r="AY14" s="38">
        <f t="shared" si="18"/>
        <v>524.4719367230606</v>
      </c>
      <c r="AZ14" s="41">
        <v>7460</v>
      </c>
      <c r="BA14" s="41">
        <v>401</v>
      </c>
      <c r="BB14" s="41">
        <f t="shared" si="0"/>
        <v>7861</v>
      </c>
      <c r="BC14" s="42">
        <f t="shared" si="1"/>
        <v>6.671822118344493E-05</v>
      </c>
      <c r="BD14" s="432">
        <f>'Verification score'!M49</f>
        <v>0.35375</v>
      </c>
      <c r="BE14" s="107">
        <f>'Data entry'!$AU$3</f>
        <v>0.1</v>
      </c>
      <c r="BF14" s="432">
        <f>'future bses'!AI49</f>
        <v>0.0875</v>
      </c>
      <c r="BG14" s="107">
        <f>'Data entry'!$AV$3</f>
        <v>0.05</v>
      </c>
      <c r="BH14" s="43">
        <f t="shared" si="19"/>
        <v>0.006938059616268722</v>
      </c>
      <c r="BI14" s="555">
        <f t="shared" si="20"/>
        <v>10000</v>
      </c>
      <c r="BJ14">
        <f t="shared" si="21"/>
        <v>6.938059616268722E-07</v>
      </c>
    </row>
    <row r="15" spans="1:62" ht="19.5" customHeight="1">
      <c r="A15">
        <v>58</v>
      </c>
      <c r="B15" s="214">
        <f>'Data entry'!A58</f>
        <v>71</v>
      </c>
      <c r="C15" s="214">
        <f>'Data entry'!B58</f>
        <v>56</v>
      </c>
      <c r="D15" s="214" t="str">
        <f>'Data entry'!C58</f>
        <v>Name removed</v>
      </c>
      <c r="E15" s="214" t="str">
        <f>'Data entry'!D58</f>
        <v>Cane</v>
      </c>
      <c r="F15" s="279">
        <f>'Data entry'!E58</f>
        <v>54000</v>
      </c>
      <c r="G15" s="279">
        <f>'Data entry'!F58</f>
        <v>36000</v>
      </c>
      <c r="H15" s="279">
        <f>'Data entry'!G58</f>
        <v>18000</v>
      </c>
      <c r="I15" s="216">
        <f>'Data entry'!H58</f>
        <v>0.3333333333333333</v>
      </c>
      <c r="J15" s="250" t="str">
        <f>'Data entry'!I58</f>
        <v>Legume Planter</v>
      </c>
      <c r="K15" s="217" t="str">
        <f>'Data entry'!J58</f>
        <v>Lot number removed</v>
      </c>
      <c r="L15" s="217" t="str">
        <f>'Data entry'!K58</f>
        <v>Home Hill</v>
      </c>
      <c r="M15" s="33" t="s">
        <v>43</v>
      </c>
      <c r="N15" s="115">
        <f>'Data entry'!L58</f>
        <v>0</v>
      </c>
      <c r="O15" s="115">
        <f>'Data entry'!M58</f>
        <v>0</v>
      </c>
      <c r="P15" s="115">
        <f>'Data entry'!N58</f>
        <v>3</v>
      </c>
      <c r="Q15" s="115">
        <f>'Data entry'!O58</f>
        <v>5</v>
      </c>
      <c r="R15" s="157">
        <f>'Data entry'!P58</f>
        <v>0</v>
      </c>
      <c r="S15" s="93">
        <f>'current bses'!R58+'current bses'!U58+'current bses'!X58</f>
        <v>25.900000000000002</v>
      </c>
      <c r="T15" s="455" t="str">
        <f>'Data entry'!I58</f>
        <v>Legume Planter</v>
      </c>
      <c r="U15" s="34">
        <f>'Data entry'!AD58</f>
        <v>380</v>
      </c>
      <c r="V15" s="125">
        <f>'thorburn clases'!D58</f>
        <v>2</v>
      </c>
      <c r="W15" s="125">
        <f>'N movement slave'!G58</f>
        <v>136</v>
      </c>
      <c r="X15" s="125">
        <f>'N movement slave'!H58</f>
        <v>1605</v>
      </c>
      <c r="Y15" s="125">
        <f>'N movement slave'!I58</f>
        <v>47</v>
      </c>
      <c r="Z15" s="125">
        <f>'N movement slave'!J58</f>
        <v>310</v>
      </c>
      <c r="AA15" s="125">
        <f>'N movement slave'!K58</f>
        <v>2</v>
      </c>
      <c r="AB15" s="37">
        <f t="shared" si="2"/>
        <v>0.9223</v>
      </c>
      <c r="AC15" s="106">
        <f>'Data entry'!X58</f>
        <v>239.46</v>
      </c>
      <c r="AD15" s="106">
        <f>'Data entry'!Y58</f>
        <v>205.8</v>
      </c>
      <c r="AE15" s="36">
        <v>0.2</v>
      </c>
      <c r="AF15" s="35">
        <f t="shared" si="3"/>
        <v>76.57402941176471</v>
      </c>
      <c r="AG15" s="35">
        <f t="shared" si="4"/>
        <v>3.1254705882352942</v>
      </c>
      <c r="AH15" s="35">
        <f t="shared" si="5"/>
        <v>25741.810205117654</v>
      </c>
      <c r="AI15" s="35">
        <f t="shared" si="6"/>
        <v>1095.3961789411765</v>
      </c>
      <c r="AJ15" s="35">
        <f t="shared" si="7"/>
        <v>87.266</v>
      </c>
      <c r="AK15" s="35">
        <f t="shared" si="8"/>
        <v>3.5618775510204084</v>
      </c>
      <c r="AL15" s="35">
        <f t="shared" si="9"/>
        <v>1248.3454728163265</v>
      </c>
      <c r="AM15" s="34">
        <f>0.5*AC15</f>
        <v>119.73</v>
      </c>
      <c r="AN15" s="613">
        <f>AD15</f>
        <v>205.8</v>
      </c>
      <c r="AO15" s="35">
        <f t="shared" si="10"/>
        <v>67.94642647058824</v>
      </c>
      <c r="AP15" s="35">
        <f t="shared" si="11"/>
        <v>2.7733235294117646</v>
      </c>
      <c r="AQ15" s="35">
        <f t="shared" si="12"/>
        <v>22841.47808020588</v>
      </c>
      <c r="AR15" s="35">
        <f t="shared" si="13"/>
        <v>971.9777906470588</v>
      </c>
      <c r="AS15" s="35">
        <f t="shared" si="14"/>
        <v>75.293</v>
      </c>
      <c r="AT15" s="35">
        <f t="shared" si="15"/>
        <v>3.073183673469388</v>
      </c>
      <c r="AU15" s="35">
        <f t="shared" si="16"/>
        <v>1077.0709747755102</v>
      </c>
      <c r="AV15" s="38">
        <f t="shared" si="17"/>
        <v>413.45160078529494</v>
      </c>
      <c r="AW15" s="39">
        <v>2.5</v>
      </c>
      <c r="AX15" s="40">
        <v>1</v>
      </c>
      <c r="AY15" s="38">
        <f t="shared" si="18"/>
        <v>1033.6290019632374</v>
      </c>
      <c r="AZ15" s="41">
        <v>7460</v>
      </c>
      <c r="BA15" s="41">
        <v>401</v>
      </c>
      <c r="BB15" s="41">
        <f t="shared" si="0"/>
        <v>7861</v>
      </c>
      <c r="BC15" s="42">
        <f t="shared" si="1"/>
        <v>0.00013148823329897438</v>
      </c>
      <c r="BD15" s="432">
        <f>'Verification score'!M58</f>
        <v>0.5108333333333334</v>
      </c>
      <c r="BE15" s="107">
        <f>'Data entry'!$AU$3</f>
        <v>0.1</v>
      </c>
      <c r="BF15" s="432">
        <f>'future bses'!AI58</f>
        <v>0.009000000000000001</v>
      </c>
      <c r="BG15" s="107">
        <f>'Data entry'!$AV$3</f>
        <v>0.05</v>
      </c>
      <c r="BH15" s="43">
        <f t="shared" si="19"/>
        <v>0.01382672828407445</v>
      </c>
      <c r="BI15" s="555">
        <f t="shared" si="20"/>
        <v>18000</v>
      </c>
      <c r="BJ15">
        <f t="shared" si="21"/>
        <v>7.681515713374695E-07</v>
      </c>
    </row>
    <row r="16" spans="1:62" ht="19.5" customHeight="1">
      <c r="A16">
        <v>61</v>
      </c>
      <c r="B16" s="214">
        <f>'Data entry'!A61</f>
        <v>74</v>
      </c>
      <c r="C16" s="214">
        <f>'Data entry'!B61</f>
        <v>59</v>
      </c>
      <c r="D16" s="214" t="str">
        <f>'Data entry'!C61</f>
        <v>Name removed</v>
      </c>
      <c r="E16" s="214" t="str">
        <f>'Data entry'!D61</f>
        <v>Cane</v>
      </c>
      <c r="F16" s="279">
        <f>'Data entry'!E61</f>
        <v>12000</v>
      </c>
      <c r="G16" s="279">
        <f>'Data entry'!F61</f>
        <v>10000</v>
      </c>
      <c r="H16" s="279">
        <f>'Data entry'!G61</f>
        <v>2000</v>
      </c>
      <c r="I16" s="216">
        <f>'Data entry'!H61</f>
        <v>0.16666666666666666</v>
      </c>
      <c r="J16" s="250" t="str">
        <f>'Data entry'!I61</f>
        <v>Strip trials</v>
      </c>
      <c r="K16" s="217" t="str">
        <f>'Data entry'!J61</f>
        <v>Lot number removed</v>
      </c>
      <c r="L16" s="217">
        <f>'Data entry'!K61</f>
        <v>0</v>
      </c>
      <c r="M16" s="33" t="str">
        <f>'Data entry'!T61</f>
        <v>average of 3/4 rate of N over 97 ha of trial area</v>
      </c>
      <c r="N16" s="115">
        <f>'Data entry'!L61</f>
        <v>0</v>
      </c>
      <c r="O16" s="115">
        <f>'Data entry'!M61</f>
        <v>0</v>
      </c>
      <c r="P16" s="115">
        <f>'Data entry'!N61</f>
        <v>3</v>
      </c>
      <c r="Q16" s="115">
        <f>'Data entry'!O61</f>
        <v>5</v>
      </c>
      <c r="R16" s="157">
        <f>'Data entry'!P61</f>
        <v>0.5</v>
      </c>
      <c r="S16" s="93">
        <f>'current bses'!R61+'current bses'!U61+'current bses'!X61</f>
        <v>29.6</v>
      </c>
      <c r="T16" s="455" t="str">
        <f>'Data entry'!I61</f>
        <v>Strip trials</v>
      </c>
      <c r="U16" s="34">
        <f>'Data entry'!AD61</f>
        <v>97</v>
      </c>
      <c r="V16" s="125">
        <f>'thorburn clases'!D61</f>
        <v>2</v>
      </c>
      <c r="W16" s="125">
        <f>'N movement slave'!G61</f>
        <v>136</v>
      </c>
      <c r="X16" s="125">
        <f>'N movement slave'!H61</f>
        <v>1605</v>
      </c>
      <c r="Y16" s="125">
        <f>'N movement slave'!I61</f>
        <v>47</v>
      </c>
      <c r="Z16" s="125">
        <f>'N movement slave'!J61</f>
        <v>310</v>
      </c>
      <c r="AA16" s="125">
        <f>'N movement slave'!K61</f>
        <v>2</v>
      </c>
      <c r="AB16" s="37">
        <f t="shared" si="2"/>
        <v>0.9112</v>
      </c>
      <c r="AC16" s="106">
        <f>'Data entry'!X61</f>
        <v>138.814</v>
      </c>
      <c r="AD16" s="106">
        <f>'Data entry'!Y61</f>
        <v>227.24</v>
      </c>
      <c r="AE16" s="36">
        <v>0.2</v>
      </c>
      <c r="AF16" s="35">
        <f t="shared" si="3"/>
        <v>75.50136176470589</v>
      </c>
      <c r="AG16" s="35">
        <f t="shared" si="4"/>
        <v>3.081688235294118</v>
      </c>
      <c r="AH16" s="35">
        <f t="shared" si="5"/>
        <v>6400.91423244</v>
      </c>
      <c r="AI16" s="35">
        <f t="shared" si="6"/>
        <v>272.37932904</v>
      </c>
      <c r="AJ16" s="35">
        <f t="shared" si="7"/>
        <v>85.77740000000001</v>
      </c>
      <c r="AK16" s="35">
        <f t="shared" si="8"/>
        <v>3.5011183673469395</v>
      </c>
      <c r="AL16" s="35">
        <f t="shared" si="9"/>
        <v>309.45124846367355</v>
      </c>
      <c r="AM16" s="34">
        <f>0.75*AC16</f>
        <v>104.1105</v>
      </c>
      <c r="AN16" s="613">
        <f>AD16</f>
        <v>227.24</v>
      </c>
      <c r="AO16" s="35">
        <f t="shared" si="10"/>
        <v>73.00066838235296</v>
      </c>
      <c r="AP16" s="35">
        <f t="shared" si="11"/>
        <v>2.9796191176470592</v>
      </c>
      <c r="AQ16" s="35">
        <f t="shared" si="12"/>
        <v>6188.908468730001</v>
      </c>
      <c r="AR16" s="35">
        <f t="shared" si="13"/>
        <v>263.35780718000007</v>
      </c>
      <c r="AS16" s="35">
        <f t="shared" si="14"/>
        <v>82.30705000000002</v>
      </c>
      <c r="AT16" s="35">
        <f t="shared" si="15"/>
        <v>3.359471428571429</v>
      </c>
      <c r="AU16" s="35">
        <f t="shared" si="16"/>
        <v>296.9315854742858</v>
      </c>
      <c r="AV16" s="38">
        <f t="shared" si="17"/>
        <v>30.222098230999848</v>
      </c>
      <c r="AW16" s="39">
        <v>1</v>
      </c>
      <c r="AX16" s="40">
        <v>1</v>
      </c>
      <c r="AY16" s="38">
        <f t="shared" si="18"/>
        <v>30.222098230999848</v>
      </c>
      <c r="AZ16" s="41">
        <v>7460</v>
      </c>
      <c r="BA16" s="41">
        <v>401</v>
      </c>
      <c r="BB16" s="41">
        <f t="shared" si="0"/>
        <v>7861</v>
      </c>
      <c r="BC16" s="42">
        <f t="shared" si="1"/>
        <v>3.844561535555253E-06</v>
      </c>
      <c r="BD16" s="432">
        <f>'Verification score'!M61</f>
        <v>0.5420833333333335</v>
      </c>
      <c r="BE16" s="107">
        <f>'Data entry'!$AU$3</f>
        <v>0.1</v>
      </c>
      <c r="BF16" s="432">
        <f>'future bses'!AI61</f>
        <v>0.009375</v>
      </c>
      <c r="BG16" s="107">
        <f>'Data entry'!$AV$3</f>
        <v>0.05</v>
      </c>
      <c r="BH16" s="43">
        <f t="shared" si="19"/>
        <v>0.00040548686379242673</v>
      </c>
      <c r="BI16" s="555">
        <f t="shared" si="20"/>
        <v>2000</v>
      </c>
      <c r="BJ16">
        <f t="shared" si="21"/>
        <v>2.0274343189621335E-07</v>
      </c>
    </row>
    <row r="17" spans="1:62" ht="19.5" customHeight="1">
      <c r="A17">
        <v>66</v>
      </c>
      <c r="B17" s="214" t="str">
        <f>'Data entry'!A66</f>
        <v>80b</v>
      </c>
      <c r="C17" s="214">
        <f>'Data entry'!B66</f>
        <v>64</v>
      </c>
      <c r="D17" s="214" t="str">
        <f>'Data entry'!C66</f>
        <v>Name removed</v>
      </c>
      <c r="E17" s="214" t="str">
        <f>'Data entry'!D66</f>
        <v>Cane</v>
      </c>
      <c r="F17" s="279">
        <f>'Data entry'!E66</f>
        <v>3311.25</v>
      </c>
      <c r="G17" s="279">
        <f>'Data entry'!F66</f>
        <v>500</v>
      </c>
      <c r="H17" s="279">
        <f>'Data entry'!G66</f>
        <v>2811.25</v>
      </c>
      <c r="I17" s="216">
        <f>'Data entry'!H66</f>
        <v>0.8489996224990563</v>
      </c>
      <c r="J17" s="250" t="str">
        <f>'Data entry'!I66</f>
        <v>EM mapping</v>
      </c>
      <c r="K17" s="217" t="str">
        <f>'Data entry'!J66</f>
        <v>Lot number removed</v>
      </c>
      <c r="L17" s="217">
        <f>'Data entry'!K66</f>
        <v>0</v>
      </c>
      <c r="M17" s="33" t="str">
        <f>'Data entry'!T66</f>
        <v>changing effectiveness of water management, 0.25% improvement, 5 year capital </v>
      </c>
      <c r="N17" s="115">
        <f>'Data entry'!L66</f>
        <v>0</v>
      </c>
      <c r="O17" s="115">
        <f>'Data entry'!M66</f>
        <v>0</v>
      </c>
      <c r="P17" s="115">
        <f>'Data entry'!N66</f>
        <v>3</v>
      </c>
      <c r="Q17" s="115">
        <f>'Data entry'!O66</f>
        <v>5</v>
      </c>
      <c r="R17" s="157">
        <f>'Data entry'!P66</f>
        <v>0</v>
      </c>
      <c r="S17" s="93">
        <f>'current bses'!R66+'current bses'!U66+'current bses'!X66</f>
        <v>1.4</v>
      </c>
      <c r="T17" s="455" t="str">
        <f>'Data entry'!I66</f>
        <v>EM mapping</v>
      </c>
      <c r="U17" s="34">
        <f>'Data entry'!AD66</f>
        <v>118</v>
      </c>
      <c r="V17" s="125">
        <f>'thorburn clases'!D66</f>
        <v>4</v>
      </c>
      <c r="W17" s="125">
        <f>'N movement slave'!G66</f>
        <v>202</v>
      </c>
      <c r="X17" s="125">
        <f>'N movement slave'!H66</f>
        <v>1510</v>
      </c>
      <c r="Y17" s="125">
        <f>'N movement slave'!I66</f>
        <v>87</v>
      </c>
      <c r="Z17" s="125">
        <f>'N movement slave'!J66</f>
        <v>358</v>
      </c>
      <c r="AA17" s="125">
        <f>'N movement slave'!K66</f>
        <v>3</v>
      </c>
      <c r="AB17" s="37">
        <f t="shared" si="2"/>
        <v>0.9958</v>
      </c>
      <c r="AC17" s="106">
        <f>'Data entry'!X66</f>
        <v>227.24</v>
      </c>
      <c r="AD17" s="106">
        <f>'Data entry'!Y66</f>
        <v>251.94</v>
      </c>
      <c r="AE17" s="36">
        <v>0.2</v>
      </c>
      <c r="AF17" s="35">
        <f t="shared" si="3"/>
        <v>110.04950495049506</v>
      </c>
      <c r="AG17" s="35">
        <f t="shared" si="4"/>
        <v>3.6683168316831685</v>
      </c>
      <c r="AH17" s="35">
        <f t="shared" si="5"/>
        <v>12500.257681188119</v>
      </c>
      <c r="AI17" s="35">
        <f t="shared" si="6"/>
        <v>431.0433683168317</v>
      </c>
      <c r="AJ17" s="35">
        <f t="shared" si="7"/>
        <v>112.50000000000001</v>
      </c>
      <c r="AK17" s="35">
        <f t="shared" si="8"/>
        <v>3.7500000000000004</v>
      </c>
      <c r="AL17" s="35">
        <f t="shared" si="9"/>
        <v>440.64150000000006</v>
      </c>
      <c r="AM17" s="34">
        <f>'Data entry'!AB66</f>
        <v>170.43</v>
      </c>
      <c r="AN17" s="614">
        <f>'Data entry'!AC66</f>
        <v>188.95499999999998</v>
      </c>
      <c r="AO17" s="35">
        <f t="shared" si="10"/>
        <v>82.5371287128713</v>
      </c>
      <c r="AP17" s="35">
        <f t="shared" si="11"/>
        <v>2.7512376237623766</v>
      </c>
      <c r="AQ17" s="35">
        <f t="shared" si="12"/>
        <v>9375.19326089109</v>
      </c>
      <c r="AR17" s="35">
        <f t="shared" si="13"/>
        <v>323.2825262376238</v>
      </c>
      <c r="AS17" s="35">
        <f t="shared" si="14"/>
        <v>81.625</v>
      </c>
      <c r="AT17" s="35">
        <f t="shared" si="15"/>
        <v>2.720833333333333</v>
      </c>
      <c r="AU17" s="35">
        <f t="shared" si="16"/>
        <v>319.70988833333337</v>
      </c>
      <c r="AV17" s="38">
        <f t="shared" si="17"/>
        <v>420.26728410891076</v>
      </c>
      <c r="AW17" s="39">
        <v>1</v>
      </c>
      <c r="AX17" s="40">
        <v>1</v>
      </c>
      <c r="AY17" s="38">
        <f t="shared" si="18"/>
        <v>420.26728410891076</v>
      </c>
      <c r="AZ17" s="41">
        <v>7460</v>
      </c>
      <c r="BA17" s="41">
        <v>401</v>
      </c>
      <c r="BB17" s="41">
        <f t="shared" si="0"/>
        <v>7861</v>
      </c>
      <c r="BC17" s="42">
        <f t="shared" si="1"/>
        <v>5.34623182939716E-05</v>
      </c>
      <c r="BD17" s="432">
        <f>'Verification score'!M66</f>
        <v>0.3741666666666667</v>
      </c>
      <c r="BE17" s="107">
        <f>'Data entry'!$AU$3</f>
        <v>0.1</v>
      </c>
      <c r="BF17" s="432">
        <f>'future bses'!AI66</f>
        <v>0.23562499999999992</v>
      </c>
      <c r="BG17" s="107">
        <f>'Data entry'!$AV$3</f>
        <v>0.05</v>
      </c>
      <c r="BH17" s="43">
        <f t="shared" si="19"/>
        <v>0.005611611997161298</v>
      </c>
      <c r="BI17" s="555">
        <f t="shared" si="20"/>
        <v>2811.25</v>
      </c>
      <c r="BJ17">
        <f t="shared" si="21"/>
        <v>1.9961269887634675E-06</v>
      </c>
    </row>
    <row r="18" spans="1:62" ht="18.75" customHeight="1">
      <c r="A18">
        <v>71</v>
      </c>
      <c r="B18" s="214">
        <f>'Data entry'!A71</f>
        <v>88</v>
      </c>
      <c r="C18" s="214">
        <f>'Data entry'!B71</f>
        <v>69</v>
      </c>
      <c r="D18" s="214" t="str">
        <f>'Data entry'!C71</f>
        <v>Name removed</v>
      </c>
      <c r="E18" s="214" t="str">
        <f>'Data entry'!D71</f>
        <v>Cane</v>
      </c>
      <c r="F18" s="279">
        <f>'Data entry'!E71</f>
        <v>25000</v>
      </c>
      <c r="G18" s="279">
        <f>'Data entry'!F71</f>
        <v>5000</v>
      </c>
      <c r="H18" s="279">
        <f>'Data entry'!G71</f>
        <v>20000</v>
      </c>
      <c r="I18" s="216">
        <f>'Data entry'!H71</f>
        <v>0.8</v>
      </c>
      <c r="J18" s="250" t="str">
        <f>'Data entry'!I71</f>
        <v>Stool Splitter and trash blanket</v>
      </c>
      <c r="K18" s="217" t="str">
        <f>'Data entry'!J71</f>
        <v>Lot number removed</v>
      </c>
      <c r="L18" s="217">
        <f>'Data entry'!K71</f>
        <v>0</v>
      </c>
      <c r="M18" s="33" t="str">
        <f>'Data entry'!T71</f>
        <v> 10 ha trial Allow 15 - 25% reduction in N, 2.5 years for capital works</v>
      </c>
      <c r="N18" s="115">
        <f>'Data entry'!L71</f>
        <v>0</v>
      </c>
      <c r="O18" s="115">
        <f>'Data entry'!M71</f>
        <v>0</v>
      </c>
      <c r="P18" s="115">
        <f>'Data entry'!N71</f>
        <v>3</v>
      </c>
      <c r="Q18" s="115">
        <f>'Data entry'!O71</f>
        <v>5</v>
      </c>
      <c r="R18" s="157">
        <f>'Data entry'!P71</f>
        <v>1</v>
      </c>
      <c r="S18" s="93">
        <f>'current bses'!R71+'current bses'!U71+'current bses'!X71</f>
        <v>25.5</v>
      </c>
      <c r="T18" s="456" t="str">
        <f>'Data entry'!I71</f>
        <v>Stool Splitter and trash blanket</v>
      </c>
      <c r="U18" s="34">
        <f>'Data entry'!AD71</f>
        <v>132</v>
      </c>
      <c r="V18" s="125">
        <f>'thorburn clases'!D71</f>
        <v>4</v>
      </c>
      <c r="W18" s="125">
        <f>'N movement slave'!G71</f>
        <v>202</v>
      </c>
      <c r="X18" s="125">
        <f>'N movement slave'!H71</f>
        <v>1510</v>
      </c>
      <c r="Y18" s="125">
        <f>'N movement slave'!I71</f>
        <v>87</v>
      </c>
      <c r="Z18" s="125">
        <f>'N movement slave'!J71</f>
        <v>358</v>
      </c>
      <c r="AA18" s="125">
        <f>'N movement slave'!K71</f>
        <v>3</v>
      </c>
      <c r="AB18" s="37">
        <f t="shared" si="2"/>
        <v>0.9235</v>
      </c>
      <c r="AC18" s="106">
        <f>'Data entry'!X71</f>
        <v>198.835</v>
      </c>
      <c r="AD18" s="106">
        <f>'Data entry'!Y71</f>
        <v>220.1</v>
      </c>
      <c r="AE18" s="36">
        <v>0.2</v>
      </c>
      <c r="AF18" s="35">
        <f t="shared" si="3"/>
        <v>96.16945544554456</v>
      </c>
      <c r="AG18" s="35">
        <f t="shared" si="4"/>
        <v>3.2056485148514855</v>
      </c>
      <c r="AH18" s="35">
        <f t="shared" si="5"/>
        <v>11332.473992465346</v>
      </c>
      <c r="AI18" s="35">
        <f t="shared" si="6"/>
        <v>390.7749652574258</v>
      </c>
      <c r="AJ18" s="35">
        <f t="shared" si="7"/>
        <v>96.9235</v>
      </c>
      <c r="AK18" s="35">
        <f t="shared" si="8"/>
        <v>3.2307833333333336</v>
      </c>
      <c r="AL18" s="35">
        <f t="shared" si="9"/>
        <v>393.83894990000005</v>
      </c>
      <c r="AM18" s="34">
        <f>'Data entry'!AB71</f>
        <v>149.12625</v>
      </c>
      <c r="AN18" s="614">
        <f>'Data entry'!AC71</f>
        <v>165.075</v>
      </c>
      <c r="AO18" s="35">
        <f t="shared" si="10"/>
        <v>72.12709158415842</v>
      </c>
      <c r="AP18" s="35">
        <f t="shared" si="11"/>
        <v>2.404236386138614</v>
      </c>
      <c r="AQ18" s="35">
        <f t="shared" si="12"/>
        <v>8499.355494349009</v>
      </c>
      <c r="AR18" s="35">
        <f t="shared" si="13"/>
        <v>293.08122394306935</v>
      </c>
      <c r="AS18" s="35">
        <f t="shared" si="14"/>
        <v>69.942625</v>
      </c>
      <c r="AT18" s="35">
        <f t="shared" si="15"/>
        <v>2.3314208333333335</v>
      </c>
      <c r="AU18" s="35">
        <f t="shared" si="16"/>
        <v>284.20486242500004</v>
      </c>
      <c r="AV18" s="38">
        <f t="shared" si="17"/>
        <v>381.0055911259901</v>
      </c>
      <c r="AW18" s="39">
        <v>2.5</v>
      </c>
      <c r="AX18" s="40">
        <v>1</v>
      </c>
      <c r="AY18" s="38">
        <f t="shared" si="18"/>
        <v>952.5139778149753</v>
      </c>
      <c r="AZ18" s="41">
        <v>7460</v>
      </c>
      <c r="BA18" s="41">
        <v>401</v>
      </c>
      <c r="BB18" s="41">
        <f t="shared" si="0"/>
        <v>7861</v>
      </c>
      <c r="BC18" s="42">
        <f t="shared" si="1"/>
        <v>0.00012116956847919798</v>
      </c>
      <c r="BD18" s="432">
        <f>'Verification score'!M71</f>
        <v>0.49541666666666667</v>
      </c>
      <c r="BE18" s="107">
        <f>'Data entry'!$AU$3</f>
        <v>0.1</v>
      </c>
      <c r="BF18" s="432">
        <f>'future bses'!AI71</f>
        <v>0.036458333333333336</v>
      </c>
      <c r="BG18" s="107">
        <f>'Data entry'!$AV$3</f>
        <v>0.05</v>
      </c>
      <c r="BH18" s="43">
        <f t="shared" si="19"/>
        <v>0.012740433574051024</v>
      </c>
      <c r="BI18" s="555">
        <f t="shared" si="20"/>
        <v>20000</v>
      </c>
      <c r="BJ18">
        <f t="shared" si="21"/>
        <v>6.370216787025512E-07</v>
      </c>
    </row>
    <row r="19" spans="1:62" ht="26.25" customHeight="1">
      <c r="A19">
        <v>84</v>
      </c>
      <c r="B19" s="214">
        <f>'Data entry'!A84</f>
        <v>104</v>
      </c>
      <c r="C19" s="214">
        <f>'Data entry'!B84</f>
        <v>82</v>
      </c>
      <c r="D19" s="214" t="str">
        <f>'Data entry'!C84</f>
        <v>Name removed</v>
      </c>
      <c r="E19" s="214" t="str">
        <f>'Data entry'!D84</f>
        <v>cane</v>
      </c>
      <c r="F19" s="279">
        <f>'Data entry'!E84</f>
        <v>18000</v>
      </c>
      <c r="G19" s="279">
        <f>'Data entry'!F84</f>
        <v>8000</v>
      </c>
      <c r="H19" s="279">
        <f>'Data entry'!G84</f>
        <v>10000</v>
      </c>
      <c r="I19" s="216">
        <f>'Data entry'!H84</f>
        <v>0.5555555555555556</v>
      </c>
      <c r="J19" s="250" t="str">
        <f>'Data entry'!I84</f>
        <v>Em mapping, yield monitor and variable rate fert applicator</v>
      </c>
      <c r="K19" s="217" t="str">
        <f>'Data entry'!J84</f>
        <v>No lot number supplied</v>
      </c>
      <c r="L19" s="217">
        <f>'Data entry'!K84</f>
        <v>0</v>
      </c>
      <c r="M19" s="33" t="str">
        <f>'Data entry'!T84</f>
        <v>Allow 10 - 20% reduction in N, 2.5 years for capital works, allow for up to 213 ha</v>
      </c>
      <c r="N19" s="115">
        <f>'Data entry'!L84</f>
        <v>0</v>
      </c>
      <c r="O19" s="115">
        <f>'Data entry'!M84</f>
        <v>0</v>
      </c>
      <c r="P19" s="115">
        <f>'Data entry'!N84</f>
        <v>3</v>
      </c>
      <c r="Q19" s="115">
        <f>'Data entry'!O84</f>
        <v>5</v>
      </c>
      <c r="R19" s="157">
        <f>'Data entry'!P84</f>
        <v>0.3</v>
      </c>
      <c r="S19" s="93">
        <f>'current bses'!R84+'current bses'!U84+'current bses'!X84</f>
        <v>12.600000000000001</v>
      </c>
      <c r="T19" s="455" t="str">
        <f>'Data entry'!I84</f>
        <v>Em mapping, yield monitor and variable rate fert applicator</v>
      </c>
      <c r="U19" s="34">
        <f>'Data entry'!AD84</f>
        <v>113</v>
      </c>
      <c r="V19" s="125">
        <f>'thorburn clases'!D84</f>
        <v>2</v>
      </c>
      <c r="W19" s="125">
        <f>'N movement slave'!G84</f>
        <v>136</v>
      </c>
      <c r="X19" s="125">
        <f>'N movement slave'!H84</f>
        <v>1605</v>
      </c>
      <c r="Y19" s="125">
        <f>'N movement slave'!I84</f>
        <v>47</v>
      </c>
      <c r="Z19" s="125">
        <f>'N movement slave'!J84</f>
        <v>310</v>
      </c>
      <c r="AA19" s="125">
        <f>'N movement slave'!K84</f>
        <v>2</v>
      </c>
      <c r="AB19" s="37">
        <f>1-0.15*S19/50</f>
        <v>0.9621999999999999</v>
      </c>
      <c r="AC19" s="106">
        <f>'Data entry'!X84</f>
        <v>133.50350000000003</v>
      </c>
      <c r="AD19" s="106">
        <f>'Data entry'!Y84</f>
        <v>191.4744</v>
      </c>
      <c r="AE19" s="36">
        <v>0.2</v>
      </c>
      <c r="AF19" s="35">
        <f t="shared" si="3"/>
        <v>64.80978514705882</v>
      </c>
      <c r="AG19" s="35">
        <f t="shared" si="4"/>
        <v>2.645297352941176</v>
      </c>
      <c r="AH19" s="35">
        <f t="shared" si="5"/>
        <v>6759.057727571499</v>
      </c>
      <c r="AI19" s="35">
        <f t="shared" si="6"/>
        <v>287.61947776899996</v>
      </c>
      <c r="AJ19" s="35">
        <f t="shared" si="7"/>
        <v>70.94011</v>
      </c>
      <c r="AK19" s="35">
        <f t="shared" si="8"/>
        <v>2.8955146938775513</v>
      </c>
      <c r="AL19" s="35">
        <f t="shared" si="9"/>
        <v>314.8252589447347</v>
      </c>
      <c r="AM19" s="34">
        <f>'Data entry'!AB84</f>
        <v>100.12762500000002</v>
      </c>
      <c r="AN19" s="614">
        <f>'Data entry'!AC84</f>
        <v>143.6058</v>
      </c>
      <c r="AO19" s="35">
        <f t="shared" si="10"/>
        <v>48.60733886029412</v>
      </c>
      <c r="AP19" s="35">
        <f t="shared" si="11"/>
        <v>1.9839730147058825</v>
      </c>
      <c r="AQ19" s="35">
        <f t="shared" si="12"/>
        <v>5069.293295678625</v>
      </c>
      <c r="AR19" s="35">
        <f t="shared" si="13"/>
        <v>215.71460832675</v>
      </c>
      <c r="AS19" s="35">
        <f t="shared" si="14"/>
        <v>48.4550825</v>
      </c>
      <c r="AT19" s="35">
        <f t="shared" si="15"/>
        <v>1.9777584693877552</v>
      </c>
      <c r="AU19" s="35">
        <f t="shared" si="16"/>
        <v>215.0389095146735</v>
      </c>
      <c r="AV19" s="38">
        <f t="shared" si="17"/>
        <v>240.8813126315373</v>
      </c>
      <c r="AW19" s="39">
        <v>1</v>
      </c>
      <c r="AX19" s="40">
        <v>1</v>
      </c>
      <c r="AY19" s="38">
        <f t="shared" si="18"/>
        <v>240.8813126315373</v>
      </c>
      <c r="AZ19" s="41">
        <v>7460</v>
      </c>
      <c r="BA19" s="41">
        <v>401</v>
      </c>
      <c r="BB19" s="41">
        <f t="shared" si="0"/>
        <v>7861</v>
      </c>
      <c r="BC19" s="42">
        <f t="shared" si="1"/>
        <v>3.0642578887105626E-05</v>
      </c>
      <c r="BD19" s="432">
        <f>'Verification score'!M84</f>
        <v>0.50875</v>
      </c>
      <c r="BE19" s="107">
        <f>'Data entry'!$AU$3</f>
        <v>0.1</v>
      </c>
      <c r="BF19" s="432">
        <f>'future bses'!AI84</f>
        <v>0.012395833333333309</v>
      </c>
      <c r="BG19" s="107">
        <f>'Data entry'!$AV$3</f>
        <v>0.05</v>
      </c>
      <c r="BH19" s="43">
        <f t="shared" si="19"/>
        <v>0.003222147832179166</v>
      </c>
      <c r="BI19" s="555">
        <f t="shared" si="20"/>
        <v>10000</v>
      </c>
      <c r="BJ19">
        <f t="shared" si="21"/>
        <v>3.222147832179166E-07</v>
      </c>
    </row>
    <row r="20" spans="1:62" ht="19.5" customHeight="1">
      <c r="A20">
        <v>85</v>
      </c>
      <c r="B20" s="214" t="str">
        <f>'Data entry'!A85</f>
        <v>105a</v>
      </c>
      <c r="C20" s="214">
        <f>'Data entry'!B85</f>
        <v>83</v>
      </c>
      <c r="D20" s="214" t="str">
        <f>'Data entry'!C85</f>
        <v>Name removed</v>
      </c>
      <c r="E20" s="214" t="str">
        <f>'Data entry'!D85</f>
        <v>Cane</v>
      </c>
      <c r="F20" s="279">
        <f>'Data entry'!E85</f>
        <v>7000</v>
      </c>
      <c r="G20" s="279">
        <f>'Data entry'!F85</f>
        <v>4000</v>
      </c>
      <c r="H20" s="279">
        <f>'Data entry'!G85</f>
        <v>3000</v>
      </c>
      <c r="I20" s="216">
        <f>'Data entry'!H85</f>
        <v>0.42857142857142855</v>
      </c>
      <c r="J20" s="250" t="str">
        <f>'Data entry'!I85</f>
        <v>Soy bean planter</v>
      </c>
      <c r="K20" s="217" t="str">
        <f>'Data entry'!J85</f>
        <v>No lot number supplied</v>
      </c>
      <c r="L20" s="217">
        <f>'Data entry'!K85</f>
        <v>0</v>
      </c>
      <c r="M20" s="33" t="str">
        <f>'Data entry'!T85</f>
        <v>Allow 2 - 5% reduction in N, 2.5 years for capital works</v>
      </c>
      <c r="N20" s="115">
        <f>'Data entry'!L85</f>
        <v>0</v>
      </c>
      <c r="O20" s="115">
        <f>'Data entry'!M85</f>
        <v>0</v>
      </c>
      <c r="P20" s="115">
        <f>'Data entry'!N85</f>
        <v>3</v>
      </c>
      <c r="Q20" s="115">
        <f>'Data entry'!O85</f>
        <v>5</v>
      </c>
      <c r="R20" s="157">
        <f>'Data entry'!P85</f>
        <v>0.2</v>
      </c>
      <c r="S20" s="93">
        <f>'current bses'!R85+'current bses'!U85+'current bses'!X85</f>
        <v>3.9000000000000004</v>
      </c>
      <c r="T20" s="455" t="str">
        <f>'Data entry'!I85</f>
        <v>Soy bean planter</v>
      </c>
      <c r="U20" s="34">
        <f>'Data entry'!AD85</f>
        <v>105</v>
      </c>
      <c r="V20" s="125">
        <f>'thorburn clases'!D85</f>
        <v>4</v>
      </c>
      <c r="W20" s="125">
        <f>'N movement slave'!G85</f>
        <v>202</v>
      </c>
      <c r="X20" s="125">
        <f>'N movement slave'!H85</f>
        <v>1510</v>
      </c>
      <c r="Y20" s="125">
        <f>'N movement slave'!I85</f>
        <v>87</v>
      </c>
      <c r="Z20" s="125">
        <f>'N movement slave'!J85</f>
        <v>358</v>
      </c>
      <c r="AA20" s="125">
        <f>'N movement slave'!K85</f>
        <v>3</v>
      </c>
      <c r="AB20" s="37">
        <f t="shared" si="2"/>
        <v>0.9883</v>
      </c>
      <c r="AC20" s="106">
        <f>'Data entry'!X85</f>
        <v>77.49625</v>
      </c>
      <c r="AD20" s="106">
        <f>'Data entry'!Y85</f>
        <v>227.24</v>
      </c>
      <c r="AE20" s="36">
        <v>0.2</v>
      </c>
      <c r="AF20" s="35">
        <f t="shared" si="3"/>
        <v>87.90204207920793</v>
      </c>
      <c r="AG20" s="35">
        <f t="shared" si="4"/>
        <v>2.9300680693069308</v>
      </c>
      <c r="AH20" s="35">
        <f t="shared" si="5"/>
        <v>8817.669200968441</v>
      </c>
      <c r="AI20" s="35">
        <f t="shared" si="6"/>
        <v>304.0575586540842</v>
      </c>
      <c r="AJ20" s="35">
        <f t="shared" si="7"/>
        <v>87.64562500000001</v>
      </c>
      <c r="AK20" s="35">
        <f t="shared" si="8"/>
        <v>2.921520833333334</v>
      </c>
      <c r="AL20" s="35">
        <f t="shared" si="9"/>
        <v>303.1705991562501</v>
      </c>
      <c r="AM20" s="34">
        <f>'Data entry'!AB85</f>
        <v>58.1221875</v>
      </c>
      <c r="AN20" s="614">
        <f>'Data entry'!AC85</f>
        <v>170.43</v>
      </c>
      <c r="AO20" s="35">
        <f t="shared" si="10"/>
        <v>65.92653155940594</v>
      </c>
      <c r="AP20" s="35">
        <f t="shared" si="11"/>
        <v>2.197551051980198</v>
      </c>
      <c r="AQ20" s="35">
        <f t="shared" si="12"/>
        <v>6613.251900726331</v>
      </c>
      <c r="AR20" s="35">
        <f t="shared" si="13"/>
        <v>228.04316899056312</v>
      </c>
      <c r="AS20" s="35">
        <f t="shared" si="14"/>
        <v>62.98421875000001</v>
      </c>
      <c r="AT20" s="35">
        <f t="shared" si="15"/>
        <v>2.0994739583333337</v>
      </c>
      <c r="AU20" s="35">
        <f t="shared" si="16"/>
        <v>217.86556186718752</v>
      </c>
      <c r="AV20" s="38">
        <f t="shared" si="17"/>
        <v>296.4561196877321</v>
      </c>
      <c r="AW20" s="39">
        <v>2.5</v>
      </c>
      <c r="AX20" s="40">
        <v>1</v>
      </c>
      <c r="AY20" s="38">
        <f t="shared" si="18"/>
        <v>741.1402992193302</v>
      </c>
      <c r="AZ20" s="41">
        <v>7460</v>
      </c>
      <c r="BA20" s="41">
        <v>401</v>
      </c>
      <c r="BB20" s="41">
        <f t="shared" si="0"/>
        <v>7861</v>
      </c>
      <c r="BC20" s="42">
        <f t="shared" si="1"/>
        <v>9.428066393834503E-05</v>
      </c>
      <c r="BD20" s="432">
        <f>'Verification score'!M85</f>
        <v>0.3279166666666667</v>
      </c>
      <c r="BE20" s="107">
        <f>'Data entry'!$AU$3</f>
        <v>0.1</v>
      </c>
      <c r="BF20" s="432">
        <f>'future bses'!AI85</f>
        <v>0.10249999999999998</v>
      </c>
      <c r="BG20" s="107">
        <f>'Data entry'!$AV$3</f>
        <v>0.05</v>
      </c>
      <c r="BH20" s="43">
        <f t="shared" si="19"/>
        <v>0.009787131699904531</v>
      </c>
      <c r="BI20" s="555">
        <f t="shared" si="20"/>
        <v>3000</v>
      </c>
      <c r="BJ20">
        <f t="shared" si="21"/>
        <v>3.2623772333015105E-06</v>
      </c>
    </row>
    <row r="21" spans="1:62" ht="12.75">
      <c r="A21">
        <v>88</v>
      </c>
      <c r="B21" s="214" t="s">
        <v>750</v>
      </c>
      <c r="C21" s="214">
        <v>86</v>
      </c>
      <c r="D21" s="214" t="str">
        <f>'Data entry'!C86</f>
        <v>Name removed</v>
      </c>
      <c r="E21" s="214" t="s">
        <v>783</v>
      </c>
      <c r="F21" s="250">
        <v>11000</v>
      </c>
      <c r="G21" s="250">
        <v>3000</v>
      </c>
      <c r="H21" s="250">
        <v>8000</v>
      </c>
      <c r="I21" s="598">
        <v>0.7272727272727273</v>
      </c>
      <c r="J21" s="250" t="str">
        <f>'Data entry'!I88</f>
        <v>natural legume fertiliser trial</v>
      </c>
      <c r="K21" s="217" t="str">
        <f>'Data entry'!J88</f>
        <v>Lot number removed</v>
      </c>
      <c r="L21" s="217" t="str">
        <f>'Data entry'!K88</f>
        <v>Millaroo</v>
      </c>
      <c r="M21" s="33" t="s">
        <v>83</v>
      </c>
      <c r="N21" s="115">
        <f>'Data entry'!L88</f>
        <v>0</v>
      </c>
      <c r="O21" s="115">
        <f>'Data entry'!M88</f>
        <v>0</v>
      </c>
      <c r="P21" s="115">
        <f>'Data entry'!N88</f>
        <v>3</v>
      </c>
      <c r="Q21" s="115">
        <f>'Data entry'!O88</f>
        <v>5</v>
      </c>
      <c r="R21" s="115">
        <f>'Data entry'!P88</f>
        <v>1</v>
      </c>
      <c r="S21" s="93">
        <f>'current bses'!R88+'current bses'!U88+'current bses'!X88</f>
        <v>1.8</v>
      </c>
      <c r="T21" s="455" t="str">
        <f>'Data entry'!I88</f>
        <v>natural legume fertiliser trial</v>
      </c>
      <c r="U21" s="34">
        <f>'Data entry'!AD88</f>
        <v>7</v>
      </c>
      <c r="V21" s="606">
        <v>3</v>
      </c>
      <c r="W21" s="125">
        <f>'N movement slave'!G88</f>
        <v>202</v>
      </c>
      <c r="X21" s="125">
        <f>'N movement slave'!H88</f>
        <v>1510</v>
      </c>
      <c r="Y21" s="125">
        <f>'N movement slave'!I88</f>
        <v>87</v>
      </c>
      <c r="Z21" s="125">
        <f>'N movement slave'!J88</f>
        <v>358</v>
      </c>
      <c r="AA21" s="125">
        <f>'N movement slave'!K88</f>
        <v>3</v>
      </c>
      <c r="AB21" s="37">
        <f>1-0.15*S21/50</f>
        <v>0.9946</v>
      </c>
      <c r="AC21" s="106">
        <f>'Data entry'!X88</f>
        <v>235</v>
      </c>
      <c r="AD21" s="106">
        <f>'Data entry'!Y88</f>
        <v>250</v>
      </c>
      <c r="AE21" s="36">
        <v>0.2</v>
      </c>
      <c r="AF21" s="35">
        <f t="shared" si="3"/>
        <v>110.04950495049505</v>
      </c>
      <c r="AG21" s="35">
        <f>AF21*AA21/(Y21+AA21)</f>
        <v>3.6683168316831685</v>
      </c>
      <c r="AH21" s="35">
        <f>(AF21-AG21)*$U21*$AB21</f>
        <v>740.6471079207921</v>
      </c>
      <c r="AI21" s="35">
        <f>AG21*U21*AB21</f>
        <v>25.539555445544558</v>
      </c>
      <c r="AJ21" s="35">
        <f>((AC21*AE21+AD21*(1-AE21))-W21)*0.5+Y21+AA21</f>
        <v>112.5</v>
      </c>
      <c r="AK21" s="35">
        <f>AJ21*AA21/(Y21+AA21)</f>
        <v>3.75</v>
      </c>
      <c r="AL21" s="35">
        <f>AK21*U21*AB21</f>
        <v>26.10825</v>
      </c>
      <c r="AM21" s="34">
        <f>'Data entry'!AB86</f>
        <v>0</v>
      </c>
      <c r="AN21" s="614">
        <f>'Data entry'!AC88</f>
        <v>0</v>
      </c>
      <c r="AO21" s="35">
        <f>($Y21+$AA21)*(AM21*$AE21+AN21*(1-$AE21))/$W21</f>
        <v>0</v>
      </c>
      <c r="AP21" s="35">
        <f t="shared" si="11"/>
        <v>0</v>
      </c>
      <c r="AQ21" s="35">
        <f>(AO21-AP21)*$U21*$AB21</f>
        <v>0</v>
      </c>
      <c r="AR21" s="35">
        <f>AP21*$U21*$AB21</f>
        <v>0</v>
      </c>
      <c r="AS21" s="35">
        <f>((AM21*$AE21+AN21*(1-$AE21))-$W21)*0.5+$Y21+$AA21</f>
        <v>-11</v>
      </c>
      <c r="AT21" s="35">
        <f t="shared" si="15"/>
        <v>-0.36666666666666664</v>
      </c>
      <c r="AU21" s="35">
        <f t="shared" si="16"/>
        <v>-2.5528066666666667</v>
      </c>
      <c r="AV21" s="38">
        <f>(AI21-AR21)+0.1*(AH21-AQ21)</f>
        <v>99.60426623762376</v>
      </c>
      <c r="AW21" s="39">
        <v>2.5</v>
      </c>
      <c r="AX21" s="40">
        <v>1</v>
      </c>
      <c r="AY21" s="38">
        <f t="shared" si="18"/>
        <v>249.0106655940594</v>
      </c>
      <c r="AZ21" s="41">
        <v>7460</v>
      </c>
      <c r="BA21" s="41">
        <v>401</v>
      </c>
      <c r="BB21" s="41">
        <f>AZ21+BA21</f>
        <v>7861</v>
      </c>
      <c r="BC21" s="42">
        <f>AV21*AW21*AX21/1000/BB21</f>
        <v>3.167671614222865E-05</v>
      </c>
      <c r="BD21" s="432">
        <f>'Verification score'!M86</f>
        <v>0.3279166666666667</v>
      </c>
      <c r="BE21" s="107">
        <f>'Data entry'!$AU$3</f>
        <v>0.1</v>
      </c>
      <c r="BF21" s="432">
        <f>'future bses'!AI86</f>
        <v>0.38550000000000006</v>
      </c>
      <c r="BG21" s="107">
        <f>'Data entry'!$AV$3</f>
        <v>0.05</v>
      </c>
      <c r="BH21" s="43">
        <f>BC21*(1+BD21*BE21)*(1+BF21*BG21)*100</f>
        <v>0.0033346038728107597</v>
      </c>
      <c r="BI21" s="555">
        <f>H21</f>
        <v>8000</v>
      </c>
      <c r="BJ21">
        <f>BH21/BI21</f>
        <v>4.1682548410134494E-07</v>
      </c>
    </row>
    <row r="24" spans="1:62" ht="25.5" customHeight="1">
      <c r="A24" s="286">
        <v>4</v>
      </c>
      <c r="B24" s="126">
        <f>'Data entry'!A4</f>
        <v>2</v>
      </c>
      <c r="C24" s="126">
        <f>'Data entry'!B4</f>
        <v>2</v>
      </c>
      <c r="D24" s="126" t="str">
        <f>'Data entry'!C4</f>
        <v>Name removed</v>
      </c>
      <c r="E24" s="126" t="str">
        <f>'Data entry'!D4</f>
        <v>Cane</v>
      </c>
      <c r="F24" s="126">
        <f>'Data entry'!E4</f>
        <v>15000</v>
      </c>
      <c r="G24" s="126">
        <f>'Data entry'!F4</f>
        <v>3500</v>
      </c>
      <c r="H24" s="126">
        <f>'Data entry'!G4</f>
        <v>11500</v>
      </c>
      <c r="I24" s="624">
        <f>'Data entry'!H4</f>
        <v>0.7666666666666667</v>
      </c>
      <c r="J24" s="113" t="s">
        <v>79</v>
      </c>
      <c r="K24" s="113" t="str">
        <f>'Data entry'!J15</f>
        <v>Lot number removed</v>
      </c>
      <c r="L24" s="457">
        <f>'Data entry'!S15</f>
        <v>2.1</v>
      </c>
      <c r="M24" s="580" t="s">
        <v>80</v>
      </c>
      <c r="N24" s="124">
        <f>'Data entry'!L4</f>
        <v>0</v>
      </c>
      <c r="O24" s="115">
        <f>'Data entry'!M4</f>
        <v>0</v>
      </c>
      <c r="P24" s="599">
        <f>'Data entry'!N4</f>
        <v>3</v>
      </c>
      <c r="Q24" s="599">
        <f>'Data entry'!O4</f>
        <v>5</v>
      </c>
      <c r="R24" s="115"/>
      <c r="S24" s="93">
        <f>'current bses'!R13+'current bses'!U13+'current bses'!X13</f>
        <v>25.5</v>
      </c>
      <c r="T24" s="461" t="s">
        <v>684</v>
      </c>
      <c r="U24" s="116">
        <f>'Data entry'!AD4</f>
        <v>93</v>
      </c>
      <c r="V24" s="125">
        <f>'thorburn clases'!D4</f>
        <v>2</v>
      </c>
      <c r="W24" s="125">
        <f>'N movement slave'!G4</f>
        <v>136</v>
      </c>
      <c r="X24" s="125">
        <f>'N movement slave'!H4</f>
        <v>1605</v>
      </c>
      <c r="Y24" s="125">
        <f>'N movement slave'!I4</f>
        <v>47</v>
      </c>
      <c r="Z24" s="125">
        <f>'N movement slave'!J4</f>
        <v>310</v>
      </c>
      <c r="AA24" s="125">
        <f>'N movement slave'!K4</f>
        <v>2</v>
      </c>
      <c r="AB24" s="37">
        <f aca="true" t="shared" si="22" ref="AB24:AB29">1-0.15*S24/50</f>
        <v>0.9235</v>
      </c>
      <c r="AC24" s="106">
        <f>'Data entry'!X4</f>
        <v>128.687</v>
      </c>
      <c r="AD24" s="106">
        <f>'Data entry'!Y4</f>
        <v>177.099</v>
      </c>
      <c r="AE24" s="36">
        <v>0.2</v>
      </c>
      <c r="AF24" s="35">
        <f aca="true" t="shared" si="23" ref="AF24:AF36">($Y24+$AA24)*(AC24*$AE24+AD24*(1-$AE24))/$W24</f>
        <v>60.3192161764706</v>
      </c>
      <c r="AG24" s="35">
        <f aca="true" t="shared" si="24" ref="AG24:AG36">AF24*AA24/(Y24+AA24)</f>
        <v>2.462008823529412</v>
      </c>
      <c r="AH24" s="35">
        <f aca="true" t="shared" si="25" ref="AH24:AH36">(AF24-AG24)*$U24*$AB24</f>
        <v>4969.09518211103</v>
      </c>
      <c r="AI24" s="35">
        <f aca="true" t="shared" si="26" ref="AI24:AI36">AG24*U24*AB24</f>
        <v>211.45085881323533</v>
      </c>
      <c r="AJ24" s="35">
        <f aca="true" t="shared" si="27" ref="AJ24:AJ36">((AC24*AE24+AD24*(1-AE24))-W24)*0.5+Y24+AA24</f>
        <v>64.70830000000001</v>
      </c>
      <c r="AK24" s="35">
        <f aca="true" t="shared" si="28" ref="AK24:AK36">AJ24*AA24/(Y24+AA24)</f>
        <v>2.6411551020408166</v>
      </c>
      <c r="AL24" s="35">
        <f aca="true" t="shared" si="29" ref="AL24:AL36">AK24*U24*AB24</f>
        <v>226.83692651632654</v>
      </c>
      <c r="AM24" s="34">
        <f>'Data entry'!AB4</f>
        <v>51.4748</v>
      </c>
      <c r="AN24" s="612">
        <f>'Data entry'!AC4</f>
        <v>70.8396</v>
      </c>
      <c r="AO24" s="35">
        <f aca="true" t="shared" si="30" ref="AO24:AO36">($Y24+$AA24)*(AM24*$AE24+AN24*(1-$AE24))/$W24</f>
        <v>24.12768647058824</v>
      </c>
      <c r="AP24" s="35">
        <f>AO24*$AA24/($Y24+$AA24)</f>
        <v>0.984803529411765</v>
      </c>
      <c r="AQ24" s="35">
        <f aca="true" t="shared" si="31" ref="AQ24:AQ36">(AO24-AP24)*$U24*$AB24</f>
        <v>1987.6380728444124</v>
      </c>
      <c r="AR24" s="35">
        <f aca="true" t="shared" si="32" ref="AR24:AR36">AP24*$U24*$AB24</f>
        <v>84.58034352529414</v>
      </c>
      <c r="AS24" s="35">
        <f aca="true" t="shared" si="33" ref="AS24:AS36">((AM24*$AE24+AN24*(1-$AE24))-$W24)*0.5+$Y24+$AA24</f>
        <v>14.483320000000006</v>
      </c>
      <c r="AT24" s="35">
        <f>AS24*$AA24/($Y24+$AA24)</f>
        <v>0.5911559183673472</v>
      </c>
      <c r="AU24" s="35">
        <f>AT24*$U24*$AB24</f>
        <v>50.77172162693879</v>
      </c>
      <c r="AV24" s="38">
        <f aca="true" t="shared" si="34" ref="AV24:AV36">(AI24-AR24)+0.1*(AH24-AQ24)</f>
        <v>425.016226214603</v>
      </c>
      <c r="AW24" s="39">
        <v>2.5</v>
      </c>
      <c r="AX24" s="40">
        <v>1</v>
      </c>
      <c r="AY24" s="38">
        <f>AV24*AW24*AX24</f>
        <v>1062.5405655365075</v>
      </c>
      <c r="AZ24" s="41">
        <v>7460</v>
      </c>
      <c r="BA24" s="41">
        <v>401</v>
      </c>
      <c r="BB24" s="41">
        <f aca="true" t="shared" si="35" ref="BB24:BB36">AZ24+BA24</f>
        <v>7861</v>
      </c>
      <c r="BC24" s="42">
        <f aca="true" t="shared" si="36" ref="BC24:BC36">AV24*AW24*AX24/1000/BB24</f>
        <v>0.00013516608135561727</v>
      </c>
      <c r="BD24" s="432">
        <f>'Verification score'!M4</f>
        <v>0.5237499999999999</v>
      </c>
      <c r="BE24" s="107">
        <f>'Data entry'!$AU$3</f>
        <v>0.1</v>
      </c>
      <c r="BF24" s="432">
        <f>'future bses'!AI4</f>
        <v>0.08785714285714284</v>
      </c>
      <c r="BG24" s="107">
        <f>'Data entry'!$AV$3</f>
        <v>0.05</v>
      </c>
      <c r="BH24" s="43">
        <f aca="true" t="shared" si="37" ref="BH24:BH36">BC24*(1+BD24*BE24)*(1+BF24*BG24)*100</f>
        <v>0.014287026860942464</v>
      </c>
      <c r="BI24" s="555" t="s">
        <v>684</v>
      </c>
      <c r="BJ24" t="s">
        <v>684</v>
      </c>
    </row>
    <row r="25" spans="1:60" ht="12.75">
      <c r="A25" s="286">
        <v>13</v>
      </c>
      <c r="B25" s="126">
        <f>'Data entry'!A13</f>
        <v>16</v>
      </c>
      <c r="C25" s="126">
        <f>'Data entry'!B13</f>
        <v>11</v>
      </c>
      <c r="D25" s="126" t="str">
        <f>'Data entry'!C13</f>
        <v>Name removed</v>
      </c>
      <c r="E25" s="126" t="str">
        <f>'Data entry'!D13</f>
        <v>Cane</v>
      </c>
      <c r="F25" s="126">
        <f>'Data entry'!E13</f>
        <v>120000</v>
      </c>
      <c r="G25" s="126">
        <f>'Data entry'!F13</f>
        <v>105000</v>
      </c>
      <c r="H25" s="126">
        <f>'Data entry'!G13</f>
        <v>15000</v>
      </c>
      <c r="I25" s="596">
        <f>'Data entry'!H13</f>
        <v>0.125</v>
      </c>
      <c r="J25" s="114" t="s">
        <v>191</v>
      </c>
      <c r="K25" s="114" t="str">
        <f>'Data entry'!J17</f>
        <v>Lot number removed</v>
      </c>
      <c r="L25" s="2"/>
      <c r="M25" s="457">
        <f>'Data entry'!S17</f>
        <v>0</v>
      </c>
      <c r="N25" s="124">
        <f>'Data entry'!L13</f>
        <v>0</v>
      </c>
      <c r="O25" s="124">
        <f>'Data entry'!M13</f>
        <v>0</v>
      </c>
      <c r="P25" s="124">
        <f>'Data entry'!N13</f>
        <v>2</v>
      </c>
      <c r="Q25" s="124">
        <f>'Data entry'!O13</f>
        <v>5</v>
      </c>
      <c r="R25" s="124">
        <f>'Data entry'!P13</f>
        <v>0</v>
      </c>
      <c r="S25" s="93">
        <f>'current bses'!R5+'current bses'!U5+'current bses'!X5</f>
        <v>23</v>
      </c>
      <c r="T25" s="461" t="s">
        <v>192</v>
      </c>
      <c r="U25" s="125">
        <v>121</v>
      </c>
      <c r="V25" s="125">
        <f>'thorburn clases'!D13</f>
        <v>3</v>
      </c>
      <c r="W25" s="125">
        <f>'N movement slave'!G13</f>
        <v>174</v>
      </c>
      <c r="X25" s="125">
        <f>'N movement slave'!H13</f>
        <v>448</v>
      </c>
      <c r="Y25" s="125">
        <f>'N movement slave'!I13</f>
        <v>15</v>
      </c>
      <c r="Z25" s="125">
        <f>'N movement slave'!J13</f>
        <v>1238</v>
      </c>
      <c r="AA25" s="125">
        <f>'N movement slave'!K13</f>
        <v>17</v>
      </c>
      <c r="AB25" s="37">
        <f t="shared" si="22"/>
        <v>0.931</v>
      </c>
      <c r="AC25" s="106">
        <f>'Data entry'!X13</f>
        <v>277.625</v>
      </c>
      <c r="AD25" s="106">
        <f>'Data entry'!Y13</f>
        <v>220.5</v>
      </c>
      <c r="AE25" s="36">
        <v>0.2</v>
      </c>
      <c r="AF25" s="35">
        <f t="shared" si="23"/>
        <v>42.65287356321839</v>
      </c>
      <c r="AG25" s="35">
        <f t="shared" si="24"/>
        <v>22.65933908045977</v>
      </c>
      <c r="AH25" s="35">
        <f t="shared" si="25"/>
        <v>2252.291653017242</v>
      </c>
      <c r="AI25" s="35">
        <f t="shared" si="26"/>
        <v>2552.5972067528737</v>
      </c>
      <c r="AJ25" s="35">
        <f t="shared" si="27"/>
        <v>60.962500000000006</v>
      </c>
      <c r="AK25" s="35">
        <f t="shared" si="28"/>
        <v>32.386328125000006</v>
      </c>
      <c r="AL25" s="35">
        <f t="shared" si="29"/>
        <v>3648.3522496093756</v>
      </c>
      <c r="AM25" s="34">
        <f>'Data entry'!AB13</f>
        <v>0</v>
      </c>
      <c r="AN25" s="609">
        <f>'Data entry'!Y13</f>
        <v>220.5</v>
      </c>
      <c r="AO25" s="35">
        <f t="shared" si="30"/>
        <v>32.44137931034483</v>
      </c>
      <c r="AP25" s="35">
        <f>AO25*$AA25/($Y25+$AA25)</f>
        <v>17.23448275862069</v>
      </c>
      <c r="AQ25" s="35">
        <f t="shared" si="31"/>
        <v>1713.072103448276</v>
      </c>
      <c r="AR25" s="35">
        <f t="shared" si="32"/>
        <v>1941.4817172413796</v>
      </c>
      <c r="AS25" s="35">
        <f t="shared" si="33"/>
        <v>33.2</v>
      </c>
      <c r="AT25" s="35">
        <f>AS25*$AA25/($Y25+$AA25)</f>
        <v>17.637500000000003</v>
      </c>
      <c r="AU25" s="35">
        <f>AT25*$U25*$AB25</f>
        <v>1986.8820125000004</v>
      </c>
      <c r="AV25" s="38">
        <f t="shared" si="34"/>
        <v>665.0374444683907</v>
      </c>
      <c r="AW25" s="39">
        <v>2.5</v>
      </c>
      <c r="AX25" s="40">
        <v>1</v>
      </c>
      <c r="AY25" s="38">
        <f aca="true" t="shared" si="38" ref="AY25:AY36">AV25*AW25*AX25</f>
        <v>1662.5936111709768</v>
      </c>
      <c r="AZ25" s="41">
        <v>7460</v>
      </c>
      <c r="BA25" s="41">
        <v>401</v>
      </c>
      <c r="BB25" s="41">
        <f t="shared" si="35"/>
        <v>7861</v>
      </c>
      <c r="BC25" s="42">
        <f t="shared" si="36"/>
        <v>0.00021149899645986223</v>
      </c>
      <c r="BD25" s="432">
        <f>'Verification score'!M5</f>
        <v>0.52375</v>
      </c>
      <c r="BE25" s="107">
        <f>'Data entry'!$AU$3</f>
        <v>0.1</v>
      </c>
      <c r="BF25" s="432">
        <f>'future bses'!AI5</f>
        <v>0.09857142857142855</v>
      </c>
      <c r="BG25" s="107">
        <f>'Data entry'!$AV$3</f>
        <v>0.05</v>
      </c>
      <c r="BH25" s="43">
        <f t="shared" si="37"/>
        <v>0.022367323937741625</v>
      </c>
    </row>
    <row r="26" spans="1:60" ht="12.75">
      <c r="A26" s="8">
        <f>'Water management'!A16</f>
        <v>20</v>
      </c>
      <c r="B26" s="213">
        <f>'Data entry'!A20</f>
        <v>29</v>
      </c>
      <c r="C26" s="213">
        <f>'Data entry'!B20</f>
        <v>18</v>
      </c>
      <c r="D26" s="213" t="str">
        <f>'Data entry'!C20</f>
        <v>Name removed</v>
      </c>
      <c r="E26" s="213" t="str">
        <f>'Data entry'!D20</f>
        <v>Cane</v>
      </c>
      <c r="F26" s="213">
        <f>'Data entry'!E20</f>
        <v>72000</v>
      </c>
      <c r="G26" s="213">
        <f>'Data entry'!F20</f>
        <v>18000</v>
      </c>
      <c r="H26" s="213">
        <f>'Data entry'!G20</f>
        <v>54000</v>
      </c>
      <c r="I26" s="597">
        <f>'Data entry'!H20</f>
        <v>0.75</v>
      </c>
      <c r="J26" s="214" t="s">
        <v>166</v>
      </c>
      <c r="K26" s="214" t="str">
        <f>'Data entry'!J20</f>
        <v>Lot number removed</v>
      </c>
      <c r="L26" s="214">
        <f>'Data entry'!K20</f>
        <v>0</v>
      </c>
      <c r="M26" s="2" t="s">
        <v>524</v>
      </c>
      <c r="N26" s="115">
        <f>'Data entry'!L20</f>
        <v>0</v>
      </c>
      <c r="O26" s="115">
        <f>'Data entry'!M20</f>
        <v>0</v>
      </c>
      <c r="P26" s="115">
        <f>'Data entry'!N20</f>
        <v>2</v>
      </c>
      <c r="Q26" s="115">
        <f>'Data entry'!O20</f>
        <v>5</v>
      </c>
      <c r="R26" s="115">
        <f>'Data entry'!P20</f>
        <v>0</v>
      </c>
      <c r="S26" s="326">
        <f>'current bses'!R20+'current bses'!U20+'current bses'!X20</f>
        <v>25.5</v>
      </c>
      <c r="T26" s="2" t="s">
        <v>526</v>
      </c>
      <c r="U26" s="214">
        <f>'Data entry'!AD20</f>
        <v>270</v>
      </c>
      <c r="V26" s="214">
        <f>'thorburn clases'!D20</f>
        <v>5</v>
      </c>
      <c r="W26" s="115">
        <f>'N movement slave'!G20</f>
        <v>305</v>
      </c>
      <c r="X26" s="214">
        <f>'N movement slave'!H20</f>
        <v>437</v>
      </c>
      <c r="Y26" s="214">
        <f>'N movement slave'!I20</f>
        <v>40</v>
      </c>
      <c r="Z26" s="214">
        <f>'N movement slave'!J20</f>
        <v>1276</v>
      </c>
      <c r="AA26" s="214">
        <f>'N movement slave'!K20</f>
        <v>59</v>
      </c>
      <c r="AB26" s="37">
        <f t="shared" si="22"/>
        <v>0.9235</v>
      </c>
      <c r="AC26" s="58">
        <f>'Data entry'!X20</f>
        <v>33.345</v>
      </c>
      <c r="AD26" s="58">
        <f>'Data entry'!Y20</f>
        <v>195</v>
      </c>
      <c r="AE26" s="36">
        <v>0.2</v>
      </c>
      <c r="AF26" s="35">
        <f t="shared" si="23"/>
        <v>52.80075737704919</v>
      </c>
      <c r="AG26" s="35">
        <f t="shared" si="24"/>
        <v>31.46711803278689</v>
      </c>
      <c r="AH26" s="35">
        <f t="shared" si="25"/>
        <v>5319.436302295082</v>
      </c>
      <c r="AI26" s="35">
        <f t="shared" si="26"/>
        <v>7846.168545885247</v>
      </c>
      <c r="AJ26" s="35">
        <f t="shared" si="27"/>
        <v>27.834500000000006</v>
      </c>
      <c r="AK26" s="35">
        <f t="shared" si="28"/>
        <v>16.588237373737375</v>
      </c>
      <c r="AL26" s="35">
        <f t="shared" si="29"/>
        <v>4136.194047954546</v>
      </c>
      <c r="AM26" s="58">
        <f>AC26-(0.75*AC26)</f>
        <v>8.33625</v>
      </c>
      <c r="AN26" s="610">
        <f>AD26</f>
        <v>195</v>
      </c>
      <c r="AO26" s="35">
        <f t="shared" si="30"/>
        <v>51.177238524590166</v>
      </c>
      <c r="AP26" s="35">
        <f>AO26*$AA26/($Y26+$AA26)</f>
        <v>30.49956639344262</v>
      </c>
      <c r="AQ26" s="35">
        <f t="shared" si="31"/>
        <v>5155.874157540985</v>
      </c>
      <c r="AR26" s="35">
        <f t="shared" si="32"/>
        <v>7604.91438237295</v>
      </c>
      <c r="AS26" s="35">
        <f t="shared" si="33"/>
        <v>25.333624999999998</v>
      </c>
      <c r="AT26" s="35">
        <f>AS26*$AA26/($Y26+$AA26)</f>
        <v>15.097816919191919</v>
      </c>
      <c r="AU26" s="35">
        <f>AT26*$U26*$AB26</f>
        <v>3764.565159715909</v>
      </c>
      <c r="AV26" s="38">
        <f t="shared" si="34"/>
        <v>257.6103779877068</v>
      </c>
      <c r="AW26" s="39">
        <v>2.5</v>
      </c>
      <c r="AX26" s="40">
        <v>1</v>
      </c>
      <c r="AY26" s="38">
        <f t="shared" si="38"/>
        <v>644.0259449692669</v>
      </c>
      <c r="AZ26" s="41">
        <v>7460</v>
      </c>
      <c r="BA26" s="41">
        <v>401</v>
      </c>
      <c r="BB26" s="41">
        <f t="shared" si="35"/>
        <v>7861</v>
      </c>
      <c r="BC26" s="42">
        <f t="shared" si="36"/>
        <v>8.192671987905697E-05</v>
      </c>
      <c r="BD26" s="432">
        <f>'Verification score'!M6</f>
        <v>0.5633333333333334</v>
      </c>
      <c r="BE26" s="107">
        <f>'Data entry'!$AU$3</f>
        <v>0.1</v>
      </c>
      <c r="BF26" s="432">
        <f>'future bses'!AI6</f>
        <v>0</v>
      </c>
      <c r="BG26" s="107">
        <f>'Data entry'!$AV$3</f>
        <v>0.05</v>
      </c>
      <c r="BH26" s="43">
        <f t="shared" si="37"/>
        <v>0.008654192509891051</v>
      </c>
    </row>
    <row r="27" spans="2:60" ht="12.75">
      <c r="B27" s="213">
        <f>'Data entry'!A38</f>
        <v>44</v>
      </c>
      <c r="C27" s="213">
        <f>'Data entry'!B38</f>
        <v>36</v>
      </c>
      <c r="D27" s="213" t="str">
        <f>'Data entry'!C38</f>
        <v>Name removed</v>
      </c>
      <c r="E27" s="213" t="str">
        <f>'Data entry'!D38</f>
        <v>Cane </v>
      </c>
      <c r="F27" s="213">
        <f>'Data entry'!E38</f>
        <v>40000</v>
      </c>
      <c r="G27" s="213">
        <f>'Data entry'!F38</f>
        <v>20000</v>
      </c>
      <c r="H27" s="213">
        <f>'Data entry'!G38</f>
        <v>20000</v>
      </c>
      <c r="I27" s="597">
        <f>'Data entry'!H38</f>
        <v>0.5</v>
      </c>
      <c r="J27" s="214" t="s">
        <v>167</v>
      </c>
      <c r="K27" s="214" t="str">
        <f>'Data entry'!J38</f>
        <v>Lot number removed</v>
      </c>
      <c r="L27" s="214">
        <f>'Data entry'!K38</f>
        <v>0</v>
      </c>
      <c r="M27" s="2" t="s">
        <v>525</v>
      </c>
      <c r="N27" s="115">
        <f>'Data entry'!L38</f>
        <v>0</v>
      </c>
      <c r="O27" s="115">
        <f>'Data entry'!M38</f>
        <v>0</v>
      </c>
      <c r="P27" s="115">
        <f>'Data entry'!N38</f>
        <v>5</v>
      </c>
      <c r="Q27" s="115">
        <f>'Data entry'!O38</f>
        <v>7</v>
      </c>
      <c r="R27" s="115">
        <f>'Data entry'!P38</f>
        <v>0.5</v>
      </c>
      <c r="S27" s="326">
        <f>'current bses'!R38+'current bses'!U38+'current bses'!X38</f>
        <v>9.3</v>
      </c>
      <c r="T27" s="2" t="s">
        <v>525</v>
      </c>
      <c r="U27" s="214">
        <f>'Data entry'!AD38</f>
        <v>170</v>
      </c>
      <c r="V27" s="214">
        <f>'thorburn clases'!D38</f>
        <v>3</v>
      </c>
      <c r="W27" s="214">
        <f>'N movement slave'!G38</f>
        <v>174</v>
      </c>
      <c r="X27" s="214">
        <f>'N movement slave'!H38</f>
        <v>1377</v>
      </c>
      <c r="Y27" s="214">
        <f>'N movement slave'!I38</f>
        <v>51.5</v>
      </c>
      <c r="Z27" s="214">
        <f>'N movement slave'!J38</f>
        <v>379</v>
      </c>
      <c r="AA27" s="214">
        <f>'N movement slave'!K38</f>
        <v>2</v>
      </c>
      <c r="AB27" s="37">
        <f t="shared" si="22"/>
        <v>0.9721</v>
      </c>
      <c r="AC27" s="58">
        <f>'Data entry'!X38</f>
        <v>105.6</v>
      </c>
      <c r="AD27" s="2">
        <f>'Data entry'!Y38</f>
        <v>205.8</v>
      </c>
      <c r="AE27" s="36">
        <v>0.2</v>
      </c>
      <c r="AF27" s="35">
        <f t="shared" si="23"/>
        <v>57.11586206896553</v>
      </c>
      <c r="AG27" s="35">
        <f t="shared" si="24"/>
        <v>2.1351724137931036</v>
      </c>
      <c r="AH27" s="35">
        <f t="shared" si="25"/>
        <v>9085.94383034483</v>
      </c>
      <c r="AI27" s="35">
        <f t="shared" si="26"/>
        <v>352.8521875862069</v>
      </c>
      <c r="AJ27" s="35">
        <f t="shared" si="27"/>
        <v>59.38000000000001</v>
      </c>
      <c r="AK27" s="35">
        <f t="shared" si="28"/>
        <v>2.21981308411215</v>
      </c>
      <c r="AL27" s="35">
        <f t="shared" si="29"/>
        <v>366.83965084112157</v>
      </c>
      <c r="AM27" s="58">
        <f aca="true" t="shared" si="39" ref="AM27:AN31">AC27-(0.05*AC27)</f>
        <v>100.32</v>
      </c>
      <c r="AN27" s="206">
        <f t="shared" si="39"/>
        <v>195.51000000000002</v>
      </c>
      <c r="AO27" s="35">
        <f t="shared" si="30"/>
        <v>54.26006896551724</v>
      </c>
      <c r="AP27" s="35">
        <f aca="true" t="shared" si="40" ref="AP27:AP36">AO27*$AA27/($Y27+$AA27)</f>
        <v>2.0284137931034483</v>
      </c>
      <c r="AQ27" s="35">
        <f t="shared" si="31"/>
        <v>8631.646638827586</v>
      </c>
      <c r="AR27" s="35">
        <f t="shared" si="32"/>
        <v>335.20957820689654</v>
      </c>
      <c r="AS27" s="35">
        <f t="shared" si="33"/>
        <v>54.736000000000004</v>
      </c>
      <c r="AT27" s="35">
        <f aca="true" t="shared" si="41" ref="AT27:AT36">AS27*$AA27/($Y27+$AA27)</f>
        <v>2.0462056074766357</v>
      </c>
      <c r="AU27" s="35">
        <f aca="true" t="shared" si="42" ref="AU27:AU36">AT27*$U27*$AB27</f>
        <v>338.1498000747664</v>
      </c>
      <c r="AV27" s="38">
        <f t="shared" si="34"/>
        <v>63.07232853103477</v>
      </c>
      <c r="AW27" s="39">
        <v>2.5</v>
      </c>
      <c r="AX27" s="40">
        <v>1</v>
      </c>
      <c r="AY27" s="38">
        <f t="shared" si="38"/>
        <v>157.68082132758693</v>
      </c>
      <c r="AZ27" s="41">
        <v>7460</v>
      </c>
      <c r="BA27" s="41">
        <v>401</v>
      </c>
      <c r="BB27" s="41">
        <f t="shared" si="35"/>
        <v>7861</v>
      </c>
      <c r="BC27" s="42">
        <f t="shared" si="36"/>
        <v>2.0058621209462783E-05</v>
      </c>
      <c r="BD27" s="432">
        <f>'Verification score'!M7</f>
        <v>0.3745833333333334</v>
      </c>
      <c r="BE27" s="107">
        <f>'Data entry'!$AU$3</f>
        <v>0.1</v>
      </c>
      <c r="BF27" s="432">
        <f>'future bses'!AI7</f>
        <v>0.0057142857142857195</v>
      </c>
      <c r="BG27" s="107">
        <f>'Data entry'!$AV$3</f>
        <v>0.05</v>
      </c>
      <c r="BH27" s="43">
        <f t="shared" si="37"/>
        <v>0.0020815929438570747</v>
      </c>
    </row>
    <row r="28" spans="2:60" ht="12.75">
      <c r="B28" s="213">
        <f>'Data entry'!A39</f>
        <v>45</v>
      </c>
      <c r="C28" s="213">
        <f>'Data entry'!B39</f>
        <v>37</v>
      </c>
      <c r="D28" s="213" t="str">
        <f>'Data entry'!C39</f>
        <v>Name removed</v>
      </c>
      <c r="E28" s="213" t="str">
        <f>'Data entry'!D39</f>
        <v>Cane</v>
      </c>
      <c r="F28" s="213">
        <f>'Data entry'!E39</f>
        <v>94900</v>
      </c>
      <c r="G28" s="213">
        <f>'Data entry'!F39</f>
        <v>50000</v>
      </c>
      <c r="H28" s="213">
        <f>'Data entry'!G39</f>
        <v>44900</v>
      </c>
      <c r="I28" s="597">
        <f>'Data entry'!H39</f>
        <v>0.4731296101159115</v>
      </c>
      <c r="J28" s="214" t="s">
        <v>167</v>
      </c>
      <c r="K28" s="214" t="str">
        <f>'Data entry'!J39</f>
        <v>Lot number removed</v>
      </c>
      <c r="L28" s="214">
        <f>'Data entry'!K39</f>
        <v>0</v>
      </c>
      <c r="M28" s="2" t="s">
        <v>525</v>
      </c>
      <c r="N28" s="115">
        <f>'Data entry'!L39</f>
        <v>0</v>
      </c>
      <c r="O28" s="115">
        <f>'Data entry'!M39</f>
        <v>0</v>
      </c>
      <c r="P28" s="115">
        <f>'Data entry'!N39</f>
        <v>2</v>
      </c>
      <c r="Q28" s="115">
        <f>'Data entry'!O39</f>
        <v>5</v>
      </c>
      <c r="R28" s="115">
        <f>'Data entry'!P39</f>
        <v>1</v>
      </c>
      <c r="S28" s="326">
        <f>'current bses'!R39+'current bses'!U39+'current bses'!X39</f>
        <v>9.3</v>
      </c>
      <c r="T28" s="2" t="s">
        <v>525</v>
      </c>
      <c r="U28" s="214">
        <f>'Data entry'!AD39</f>
        <v>125</v>
      </c>
      <c r="V28" s="214">
        <f>'thorburn clases'!D39</f>
        <v>3</v>
      </c>
      <c r="W28" s="214">
        <f>'N movement slave'!G39</f>
        <v>174</v>
      </c>
      <c r="X28" s="214">
        <f>'N movement slave'!H39</f>
        <v>448</v>
      </c>
      <c r="Y28" s="214">
        <f>'N movement slave'!I39</f>
        <v>15</v>
      </c>
      <c r="Z28" s="214">
        <f>'N movement slave'!J39</f>
        <v>1238</v>
      </c>
      <c r="AA28" s="214">
        <f>'N movement slave'!K39</f>
        <v>17</v>
      </c>
      <c r="AB28" s="37">
        <f t="shared" si="22"/>
        <v>0.9721</v>
      </c>
      <c r="AC28" s="58">
        <f>'Data entry'!X39</f>
        <v>106</v>
      </c>
      <c r="AD28" s="58">
        <f>'Data entry'!Y39</f>
        <v>206</v>
      </c>
      <c r="AE28" s="36">
        <v>0.2</v>
      </c>
      <c r="AF28" s="35">
        <f t="shared" si="23"/>
        <v>34.206896551724135</v>
      </c>
      <c r="AG28" s="35">
        <f t="shared" si="24"/>
        <v>18.17241379310345</v>
      </c>
      <c r="AH28" s="35">
        <f t="shared" si="25"/>
        <v>1948.390086206896</v>
      </c>
      <c r="AI28" s="35">
        <f t="shared" si="26"/>
        <v>2208.1754310344827</v>
      </c>
      <c r="AJ28" s="35">
        <f t="shared" si="27"/>
        <v>38</v>
      </c>
      <c r="AK28" s="35">
        <f t="shared" si="28"/>
        <v>20.1875</v>
      </c>
      <c r="AL28" s="35">
        <f t="shared" si="29"/>
        <v>2453.03359375</v>
      </c>
      <c r="AM28" s="58">
        <f t="shared" si="39"/>
        <v>100.7</v>
      </c>
      <c r="AN28" s="206">
        <f t="shared" si="39"/>
        <v>195.7</v>
      </c>
      <c r="AO28" s="35">
        <f t="shared" si="30"/>
        <v>32.49655172413793</v>
      </c>
      <c r="AP28" s="35">
        <f t="shared" si="40"/>
        <v>17.263793103448275</v>
      </c>
      <c r="AQ28" s="35">
        <f t="shared" si="31"/>
        <v>1850.9705818965515</v>
      </c>
      <c r="AR28" s="35">
        <f t="shared" si="32"/>
        <v>2097.7666594827583</v>
      </c>
      <c r="AS28" s="35">
        <f t="shared" si="33"/>
        <v>33.349999999999994</v>
      </c>
      <c r="AT28" s="35">
        <f t="shared" si="41"/>
        <v>17.717187499999998</v>
      </c>
      <c r="AU28" s="35">
        <f t="shared" si="42"/>
        <v>2152.8597460937494</v>
      </c>
      <c r="AV28" s="38">
        <f t="shared" si="34"/>
        <v>120.15072198275884</v>
      </c>
      <c r="AW28" s="39">
        <v>2.5</v>
      </c>
      <c r="AX28" s="40">
        <v>1</v>
      </c>
      <c r="AY28" s="38">
        <f t="shared" si="38"/>
        <v>300.3768049568971</v>
      </c>
      <c r="AZ28" s="41">
        <v>7460</v>
      </c>
      <c r="BA28" s="41">
        <v>401</v>
      </c>
      <c r="BB28" s="41">
        <f t="shared" si="35"/>
        <v>7861</v>
      </c>
      <c r="BC28" s="42">
        <f t="shared" si="36"/>
        <v>3.8211017040694204E-05</v>
      </c>
      <c r="BD28" s="432">
        <f>'Verification score'!M8</f>
        <v>0.4841666666666667</v>
      </c>
      <c r="BE28" s="107">
        <f>'Data entry'!$AU$3</f>
        <v>0.1</v>
      </c>
      <c r="BF28" s="432">
        <f>'future bses'!AI8</f>
        <v>0.03357142857142857</v>
      </c>
      <c r="BG28" s="107">
        <f>'Data entry'!$AV$3</f>
        <v>0.05</v>
      </c>
      <c r="BH28" s="43">
        <f t="shared" si="37"/>
        <v>0.004012831247840639</v>
      </c>
    </row>
    <row r="29" spans="2:60" ht="12.75">
      <c r="B29" s="213">
        <f>'Data entry'!A59</f>
        <v>72</v>
      </c>
      <c r="C29" s="213">
        <f>'Data entry'!B59</f>
        <v>57</v>
      </c>
      <c r="D29" s="213" t="str">
        <f>'Data entry'!C59</f>
        <v>Name removed</v>
      </c>
      <c r="E29" s="213" t="str">
        <f>'Data entry'!D59</f>
        <v>Cane</v>
      </c>
      <c r="F29" s="213">
        <f>'Data entry'!E59</f>
        <v>40000</v>
      </c>
      <c r="G29" s="213">
        <f>'Data entry'!F59</f>
        <v>20000</v>
      </c>
      <c r="H29" s="213">
        <f>'Data entry'!G59</f>
        <v>20000</v>
      </c>
      <c r="I29" s="597">
        <f>'Data entry'!H59</f>
        <v>0.5</v>
      </c>
      <c r="J29" s="214" t="s">
        <v>168</v>
      </c>
      <c r="K29" s="214" t="str">
        <f>'Data entry'!J59</f>
        <v>Lot number removed</v>
      </c>
      <c r="L29" s="214">
        <f>'Data entry'!K59</f>
        <v>0</v>
      </c>
      <c r="M29" s="2" t="s">
        <v>525</v>
      </c>
      <c r="N29" s="214">
        <f>'Data entry'!L59</f>
        <v>0</v>
      </c>
      <c r="O29" s="214">
        <f>'Data entry'!M59</f>
        <v>0</v>
      </c>
      <c r="P29" s="214">
        <f>'Data entry'!N59</f>
        <v>3</v>
      </c>
      <c r="Q29" s="214">
        <f>'Data entry'!O59</f>
        <v>5</v>
      </c>
      <c r="R29" s="214">
        <f>'Data entry'!P59</f>
        <v>0</v>
      </c>
      <c r="S29" s="326">
        <f>'current bses'!R59+'current bses'!U59+'current bses'!X59</f>
        <v>3.9000000000000004</v>
      </c>
      <c r="T29" s="2" t="s">
        <v>525</v>
      </c>
      <c r="U29" s="214">
        <f>'Data entry'!AD59</f>
        <v>66</v>
      </c>
      <c r="V29" s="214">
        <f>'thorburn clases'!D59</f>
        <v>2</v>
      </c>
      <c r="W29" s="214">
        <f>'N movement slave'!G59</f>
        <v>136</v>
      </c>
      <c r="X29" s="214">
        <f>'N movement slave'!H59</f>
        <v>1605</v>
      </c>
      <c r="Y29" s="214">
        <f>'N movement slave'!I59</f>
        <v>47</v>
      </c>
      <c r="Z29" s="214">
        <f>'N movement slave'!J59</f>
        <v>310</v>
      </c>
      <c r="AA29" s="214">
        <f>'N movement slave'!K59</f>
        <v>2</v>
      </c>
      <c r="AB29" s="37">
        <f t="shared" si="22"/>
        <v>0.9883</v>
      </c>
      <c r="AC29" s="58">
        <f>'Data entry'!X59</f>
        <v>308.50300000000004</v>
      </c>
      <c r="AD29" s="58">
        <f>'Data entry'!Y59</f>
        <v>198.2175</v>
      </c>
      <c r="AE29" s="36">
        <v>0.2</v>
      </c>
      <c r="AF29" s="35">
        <f t="shared" si="23"/>
        <v>79.36364264705882</v>
      </c>
      <c r="AG29" s="35">
        <f t="shared" si="24"/>
        <v>3.2393323529411764</v>
      </c>
      <c r="AH29" s="35">
        <f t="shared" si="25"/>
        <v>4965.421287002647</v>
      </c>
      <c r="AI29" s="35">
        <f t="shared" si="26"/>
        <v>211.29452285117645</v>
      </c>
      <c r="AJ29" s="35">
        <f t="shared" si="27"/>
        <v>91.13730000000001</v>
      </c>
      <c r="AK29" s="35">
        <f t="shared" si="28"/>
        <v>3.719889795918368</v>
      </c>
      <c r="AL29" s="35">
        <f t="shared" si="29"/>
        <v>242.6402276302041</v>
      </c>
      <c r="AM29" s="625">
        <f t="shared" si="39"/>
        <v>293.07785</v>
      </c>
      <c r="AN29" s="626">
        <f t="shared" si="39"/>
        <v>188.306625</v>
      </c>
      <c r="AO29" s="35">
        <f t="shared" si="30"/>
        <v>75.39546051470587</v>
      </c>
      <c r="AP29" s="35">
        <f t="shared" si="40"/>
        <v>3.0773657352941175</v>
      </c>
      <c r="AQ29" s="35">
        <f t="shared" si="31"/>
        <v>4717.150222652514</v>
      </c>
      <c r="AR29" s="35">
        <f t="shared" si="32"/>
        <v>200.72979670861764</v>
      </c>
      <c r="AS29" s="35">
        <f t="shared" si="33"/>
        <v>85.630435</v>
      </c>
      <c r="AT29" s="35">
        <f t="shared" si="41"/>
        <v>3.4951197959183675</v>
      </c>
      <c r="AU29" s="35">
        <f t="shared" si="42"/>
        <v>227.9789750242041</v>
      </c>
      <c r="AV29" s="38">
        <f t="shared" si="34"/>
        <v>35.39183257757213</v>
      </c>
      <c r="AW29" s="39">
        <v>2.5</v>
      </c>
      <c r="AX29" s="40">
        <v>1</v>
      </c>
      <c r="AY29" s="38">
        <f t="shared" si="38"/>
        <v>88.47958144393033</v>
      </c>
      <c r="AZ29" s="41">
        <v>7460</v>
      </c>
      <c r="BA29" s="41">
        <v>401</v>
      </c>
      <c r="BB29" s="41">
        <f t="shared" si="35"/>
        <v>7861</v>
      </c>
      <c r="BC29" s="42">
        <f t="shared" si="36"/>
        <v>1.1255512205054105E-05</v>
      </c>
      <c r="BD29" s="432">
        <f>'Verification score'!M9</f>
        <v>0.6325000000000001</v>
      </c>
      <c r="BE29" s="107">
        <f>'Data entry'!$AU$3</f>
        <v>0.1</v>
      </c>
      <c r="BF29" s="432">
        <f>'future bses'!AI9</f>
        <v>0.004464285714285714</v>
      </c>
      <c r="BG29" s="107">
        <f>'Data entry'!$AV$3</f>
        <v>0.05</v>
      </c>
      <c r="BH29" s="43">
        <f t="shared" si="37"/>
        <v>0.001197009465187914</v>
      </c>
    </row>
    <row r="30" spans="2:60" ht="12.75">
      <c r="B30" s="213" t="str">
        <f>'Data entry'!A77</f>
        <v>94a</v>
      </c>
      <c r="C30" s="213">
        <f>'Data entry'!B77</f>
        <v>75</v>
      </c>
      <c r="D30" s="213" t="str">
        <f>'Data entry'!C77</f>
        <v>Name removed</v>
      </c>
      <c r="E30" s="213" t="str">
        <f>'Data entry'!D77</f>
        <v>Cane</v>
      </c>
      <c r="F30" s="213">
        <f>'Data entry'!E77</f>
        <v>57000</v>
      </c>
      <c r="G30" s="213">
        <f>'Data entry'!F77</f>
        <v>22800</v>
      </c>
      <c r="H30" s="213">
        <f>'Data entry'!G77</f>
        <v>34200</v>
      </c>
      <c r="I30" s="597">
        <f>'Data entry'!H77</f>
        <v>0.6</v>
      </c>
      <c r="J30" s="214" t="s">
        <v>169</v>
      </c>
      <c r="K30" s="214" t="str">
        <f>'Data entry'!J77</f>
        <v>Lot number removed</v>
      </c>
      <c r="L30" s="214">
        <f>'Data entry'!K77</f>
        <v>0</v>
      </c>
      <c r="M30" s="2" t="s">
        <v>525</v>
      </c>
      <c r="N30" s="214">
        <f>'Data entry'!Z77</f>
        <v>0</v>
      </c>
      <c r="O30" s="214">
        <f>'Data entry'!AA77</f>
        <v>0</v>
      </c>
      <c r="P30" s="214">
        <f>'Data entry'!AB77</f>
        <v>0</v>
      </c>
      <c r="Q30" s="214">
        <f>'Data entry'!AC77</f>
        <v>0</v>
      </c>
      <c r="R30" s="214">
        <f>'Data entry'!P77</f>
        <v>0</v>
      </c>
      <c r="S30" s="326">
        <f>'current bses'!R77+'current bses'!U77+'current bses'!X77</f>
        <v>14.200000000000001</v>
      </c>
      <c r="T30" s="2" t="s">
        <v>525</v>
      </c>
      <c r="U30" s="214">
        <f>'Data entry'!AD77</f>
        <v>147</v>
      </c>
      <c r="V30" s="214">
        <f>'thorburn clases'!D77</f>
        <v>2</v>
      </c>
      <c r="W30" s="214">
        <f>'N movement slave'!G77</f>
        <v>140</v>
      </c>
      <c r="X30" s="214">
        <f>'N movement slave'!H77</f>
        <v>1395</v>
      </c>
      <c r="Y30" s="214">
        <f>'N movement slave'!I77</f>
        <v>32</v>
      </c>
      <c r="Z30" s="214">
        <f>'N movement slave'!J77</f>
        <v>450</v>
      </c>
      <c r="AA30" s="214">
        <f>'N movement slave'!K77</f>
        <v>2</v>
      </c>
      <c r="AB30" s="37">
        <f aca="true" t="shared" si="43" ref="AB30:AB36">1-0.15*S30/50</f>
        <v>0.9574</v>
      </c>
      <c r="AC30" s="58">
        <f>'Data entry'!X77</f>
        <v>163.32875</v>
      </c>
      <c r="AD30" s="58">
        <f>'Data entry'!Y77</f>
        <v>243.17149999999998</v>
      </c>
      <c r="AE30" s="36">
        <v>0.2</v>
      </c>
      <c r="AF30" s="35">
        <f t="shared" si="23"/>
        <v>55.177859285714284</v>
      </c>
      <c r="AG30" s="35">
        <f t="shared" si="24"/>
        <v>3.2457564285714287</v>
      </c>
      <c r="AH30" s="35">
        <f t="shared" si="25"/>
        <v>7308.809905488</v>
      </c>
      <c r="AI30" s="35">
        <f t="shared" si="26"/>
        <v>456.800619093</v>
      </c>
      <c r="AJ30" s="35">
        <f t="shared" si="27"/>
        <v>77.601475</v>
      </c>
      <c r="AK30" s="35">
        <f t="shared" si="28"/>
        <v>4.564792647058823</v>
      </c>
      <c r="AL30" s="35">
        <f t="shared" si="29"/>
        <v>642.4388746032353</v>
      </c>
      <c r="AM30" s="58">
        <f t="shared" si="39"/>
        <v>155.1623125</v>
      </c>
      <c r="AN30" s="610">
        <f t="shared" si="39"/>
        <v>231.012925</v>
      </c>
      <c r="AO30" s="35">
        <f t="shared" si="30"/>
        <v>52.41896632142857</v>
      </c>
      <c r="AP30" s="35">
        <f t="shared" si="40"/>
        <v>3.083468607142857</v>
      </c>
      <c r="AQ30" s="35">
        <f t="shared" si="31"/>
        <v>6943.3694102136005</v>
      </c>
      <c r="AR30" s="35">
        <f t="shared" si="32"/>
        <v>433.96058813835003</v>
      </c>
      <c r="AS30" s="35">
        <f t="shared" si="33"/>
        <v>71.92140125</v>
      </c>
      <c r="AT30" s="35">
        <f t="shared" si="41"/>
        <v>4.230670661764706</v>
      </c>
      <c r="AU30" s="35">
        <f t="shared" si="42"/>
        <v>595.4152814613088</v>
      </c>
      <c r="AV30" s="38">
        <f t="shared" si="34"/>
        <v>59.38408048208998</v>
      </c>
      <c r="AW30" s="39">
        <v>2.5</v>
      </c>
      <c r="AX30" s="40">
        <v>1</v>
      </c>
      <c r="AY30" s="38">
        <f t="shared" si="38"/>
        <v>148.46020120522493</v>
      </c>
      <c r="AZ30" s="41">
        <v>7460</v>
      </c>
      <c r="BA30" s="41">
        <v>401</v>
      </c>
      <c r="BB30" s="41">
        <f t="shared" si="35"/>
        <v>7861</v>
      </c>
      <c r="BC30" s="42">
        <f t="shared" si="36"/>
        <v>1.888566355491985E-05</v>
      </c>
      <c r="BD30" s="432">
        <f>'Verification score'!M10</f>
        <v>0.6483333333333333</v>
      </c>
      <c r="BE30" s="107">
        <f>'Data entry'!$AU$3</f>
        <v>0.1</v>
      </c>
      <c r="BF30" s="432">
        <f>'future bses'!AI10</f>
        <v>0.002499999999999976</v>
      </c>
      <c r="BG30" s="107">
        <f>'Data entry'!$AV$3</f>
        <v>0.05</v>
      </c>
      <c r="BH30" s="43">
        <f t="shared" si="37"/>
        <v>0.0020112597835906577</v>
      </c>
    </row>
    <row r="31" spans="2:60" ht="12.75">
      <c r="B31" s="213" t="str">
        <f>'Data entry'!A78</f>
        <v>94b</v>
      </c>
      <c r="C31" s="213">
        <f>'Data entry'!B78</f>
        <v>76</v>
      </c>
      <c r="D31" s="213" t="str">
        <f>'Data entry'!C78</f>
        <v>Name removed</v>
      </c>
      <c r="E31" s="213" t="str">
        <f>'Data entry'!D78</f>
        <v>Cane</v>
      </c>
      <c r="F31" s="213">
        <f>'Data entry'!E78</f>
        <v>10000</v>
      </c>
      <c r="G31" s="213">
        <f>'Data entry'!F78</f>
        <v>2000</v>
      </c>
      <c r="H31" s="213">
        <f>'Data entry'!G78</f>
        <v>8000</v>
      </c>
      <c r="I31" s="597">
        <f>'Data entry'!H78</f>
        <v>0.8</v>
      </c>
      <c r="J31" s="214" t="s">
        <v>169</v>
      </c>
      <c r="K31" s="214"/>
      <c r="L31" s="214">
        <f>'Data entry'!K78</f>
        <v>0</v>
      </c>
      <c r="M31" s="2" t="s">
        <v>525</v>
      </c>
      <c r="N31" s="214">
        <f>'Data entry'!Z78</f>
        <v>0</v>
      </c>
      <c r="O31" s="214">
        <f>'Data entry'!AA78</f>
        <v>0</v>
      </c>
      <c r="P31" s="214">
        <f>'Data entry'!AB78</f>
        <v>0</v>
      </c>
      <c r="Q31" s="214">
        <f>'Data entry'!AC78</f>
        <v>0</v>
      </c>
      <c r="R31" s="214">
        <f>'Data entry'!P78</f>
        <v>0</v>
      </c>
      <c r="S31" s="326">
        <f>S30</f>
        <v>14.200000000000001</v>
      </c>
      <c r="T31" s="2" t="s">
        <v>525</v>
      </c>
      <c r="U31" s="214">
        <f>'Data entry'!AD78</f>
        <v>219</v>
      </c>
      <c r="V31" s="214">
        <f>'thorburn clases'!D78</f>
        <v>1</v>
      </c>
      <c r="W31" s="214">
        <f>'N movement slave'!G78</f>
        <v>95.5</v>
      </c>
      <c r="X31" s="214">
        <f>'N movement slave'!H78</f>
        <v>1876</v>
      </c>
      <c r="Y31" s="214">
        <f>'N movement slave'!I78</f>
        <v>18</v>
      </c>
      <c r="Z31" s="214">
        <f>'N movement slave'!J78</f>
        <v>363</v>
      </c>
      <c r="AA31" s="214">
        <f>'N movement slave'!K78</f>
        <v>0.1</v>
      </c>
      <c r="AB31" s="37">
        <f t="shared" si="43"/>
        <v>0.9574</v>
      </c>
      <c r="AC31" s="58">
        <f>'Data entry'!X78</f>
        <v>163.32875</v>
      </c>
      <c r="AD31" s="58">
        <f>'Data entry'!Y78</f>
        <v>243.17149999999998</v>
      </c>
      <c r="AE31" s="36">
        <v>0.2</v>
      </c>
      <c r="AF31" s="35">
        <f t="shared" si="23"/>
        <v>43.06150151832461</v>
      </c>
      <c r="AG31" s="35">
        <f t="shared" si="24"/>
        <v>0.23790884816753927</v>
      </c>
      <c r="AH31" s="35">
        <f t="shared" si="25"/>
        <v>8978.848369307436</v>
      </c>
      <c r="AI31" s="35">
        <f t="shared" si="26"/>
        <v>49.88249094059686</v>
      </c>
      <c r="AJ31" s="35">
        <f t="shared" si="27"/>
        <v>83.95147499999999</v>
      </c>
      <c r="AK31" s="35">
        <f t="shared" si="28"/>
        <v>0.4638203038674032</v>
      </c>
      <c r="AL31" s="35">
        <f t="shared" si="29"/>
        <v>97.24948140406075</v>
      </c>
      <c r="AM31" s="58">
        <f t="shared" si="39"/>
        <v>155.1623125</v>
      </c>
      <c r="AN31" s="610">
        <f t="shared" si="39"/>
        <v>231.012925</v>
      </c>
      <c r="AO31" s="35">
        <f t="shared" si="30"/>
        <v>40.90842644240838</v>
      </c>
      <c r="AP31" s="35">
        <f t="shared" si="40"/>
        <v>0.2260134057591623</v>
      </c>
      <c r="AQ31" s="35">
        <f t="shared" si="31"/>
        <v>8529.905950842063</v>
      </c>
      <c r="AR31" s="35">
        <f t="shared" si="32"/>
        <v>47.38836639356701</v>
      </c>
      <c r="AS31" s="35">
        <f t="shared" si="33"/>
        <v>78.27140125</v>
      </c>
      <c r="AT31" s="35">
        <f t="shared" si="41"/>
        <v>0.4324386809392265</v>
      </c>
      <c r="AU31" s="35">
        <f t="shared" si="42"/>
        <v>90.66967769573618</v>
      </c>
      <c r="AV31" s="38">
        <f t="shared" si="34"/>
        <v>47.38836639356711</v>
      </c>
      <c r="AW31" s="39">
        <v>2.5</v>
      </c>
      <c r="AX31" s="40">
        <v>1</v>
      </c>
      <c r="AY31" s="38">
        <f t="shared" si="38"/>
        <v>118.47091598391778</v>
      </c>
      <c r="AZ31" s="41">
        <v>7460</v>
      </c>
      <c r="BA31" s="41">
        <v>401</v>
      </c>
      <c r="BB31" s="41">
        <f t="shared" si="35"/>
        <v>7861</v>
      </c>
      <c r="BC31" s="42">
        <f t="shared" si="36"/>
        <v>1.5070718227187098E-05</v>
      </c>
      <c r="BD31" s="432">
        <f>'Verification score'!M11</f>
        <v>0.5316666666666666</v>
      </c>
      <c r="BE31" s="107">
        <f>'Data entry'!$AU$3</f>
        <v>0.1</v>
      </c>
      <c r="BF31" s="432">
        <f>'future bses'!AI11</f>
        <v>0.38785714285714284</v>
      </c>
      <c r="BG31" s="107">
        <f>'Data entry'!$AV$3</f>
        <v>0.05</v>
      </c>
      <c r="BH31" s="43">
        <f t="shared" si="37"/>
        <v>0.001617978108307144</v>
      </c>
    </row>
    <row r="32" spans="2:60" ht="12.75">
      <c r="B32" s="213" t="str">
        <f>'Data entry'!A79</f>
        <v>94c</v>
      </c>
      <c r="C32" s="213">
        <f>'Data entry'!B79</f>
        <v>77</v>
      </c>
      <c r="D32" s="213" t="str">
        <f>'Data entry'!C79</f>
        <v>Name removed</v>
      </c>
      <c r="E32" s="213" t="str">
        <f>'Data entry'!D79</f>
        <v>Cane</v>
      </c>
      <c r="F32" s="213">
        <f>'Data entry'!E79</f>
        <v>28000</v>
      </c>
      <c r="G32" s="213">
        <f>'Data entry'!F79</f>
        <v>11200</v>
      </c>
      <c r="H32" s="213">
        <f>'Data entry'!G79</f>
        <v>16800</v>
      </c>
      <c r="I32" s="597">
        <f>'Data entry'!H79</f>
        <v>0.6</v>
      </c>
      <c r="J32" s="214" t="s">
        <v>169</v>
      </c>
      <c r="K32" s="214"/>
      <c r="L32" s="214">
        <f>'Data entry'!K79</f>
        <v>0</v>
      </c>
      <c r="M32" s="2" t="s">
        <v>525</v>
      </c>
      <c r="N32" s="214">
        <f>'Data entry'!Z79</f>
        <v>0</v>
      </c>
      <c r="O32" s="214">
        <f>'Data entry'!AA79</f>
        <v>0</v>
      </c>
      <c r="P32" s="214">
        <f>'Data entry'!AB79</f>
        <v>0</v>
      </c>
      <c r="Q32" s="214">
        <f>'Data entry'!AC79</f>
        <v>0</v>
      </c>
      <c r="R32" s="214">
        <f>'Data entry'!P79</f>
        <v>0</v>
      </c>
      <c r="S32" s="326">
        <f>S31</f>
        <v>14.200000000000001</v>
      </c>
      <c r="T32" s="2" t="s">
        <v>525</v>
      </c>
      <c r="U32" s="214">
        <f>'Data entry'!AD79</f>
        <v>162</v>
      </c>
      <c r="V32" s="214">
        <f>'thorburn clases'!D79</f>
        <v>1</v>
      </c>
      <c r="W32" s="214">
        <f>'N movement slave'!G79</f>
        <v>95.5</v>
      </c>
      <c r="X32" s="214">
        <f>'N movement slave'!H79</f>
        <v>1876</v>
      </c>
      <c r="Y32" s="214">
        <f>'N movement slave'!I79</f>
        <v>18</v>
      </c>
      <c r="Z32" s="214">
        <f>'N movement slave'!J79</f>
        <v>363</v>
      </c>
      <c r="AA32" s="214">
        <f>'N movement slave'!K79</f>
        <v>0.1</v>
      </c>
      <c r="AB32" s="37">
        <f t="shared" si="43"/>
        <v>0.9574</v>
      </c>
      <c r="AC32" s="58">
        <f>'Data entry'!X79</f>
        <v>163.32875</v>
      </c>
      <c r="AD32" s="58">
        <f>'Data entry'!Y79</f>
        <v>243.17149999999998</v>
      </c>
      <c r="AE32" s="36">
        <v>0.2</v>
      </c>
      <c r="AF32" s="35">
        <f t="shared" si="23"/>
        <v>43.06150151832461</v>
      </c>
      <c r="AG32" s="35">
        <f t="shared" si="24"/>
        <v>0.23790884816753927</v>
      </c>
      <c r="AH32" s="35">
        <f t="shared" si="25"/>
        <v>6641.887834830158</v>
      </c>
      <c r="AI32" s="35">
        <f t="shared" si="26"/>
        <v>36.89937686016754</v>
      </c>
      <c r="AJ32" s="35">
        <f t="shared" si="27"/>
        <v>83.95147499999999</v>
      </c>
      <c r="AK32" s="35">
        <f t="shared" si="28"/>
        <v>0.4638203038674032</v>
      </c>
      <c r="AL32" s="35">
        <f t="shared" si="29"/>
        <v>71.93797254546959</v>
      </c>
      <c r="AM32" s="58">
        <f>AC32-(0.05*AC32)</f>
        <v>155.1623125</v>
      </c>
      <c r="AN32" s="610">
        <f>AD32</f>
        <v>243.17149999999998</v>
      </c>
      <c r="AO32" s="35">
        <f t="shared" si="30"/>
        <v>42.7519465052356</v>
      </c>
      <c r="AP32" s="35">
        <f t="shared" si="40"/>
        <v>0.23619859947643979</v>
      </c>
      <c r="AQ32" s="35">
        <f t="shared" si="31"/>
        <v>6594.141481285759</v>
      </c>
      <c r="AR32" s="35">
        <f t="shared" si="32"/>
        <v>36.634119340476445</v>
      </c>
      <c r="AS32" s="35">
        <f t="shared" si="33"/>
        <v>83.13483124999999</v>
      </c>
      <c r="AT32" s="35">
        <f t="shared" si="41"/>
        <v>0.45930845994475133</v>
      </c>
      <c r="AU32" s="35">
        <f t="shared" si="42"/>
        <v>71.238190967279</v>
      </c>
      <c r="AV32" s="38">
        <f t="shared" si="34"/>
        <v>5.039892874130949</v>
      </c>
      <c r="AW32" s="39">
        <v>2.5</v>
      </c>
      <c r="AX32" s="40">
        <v>1</v>
      </c>
      <c r="AY32" s="38">
        <f t="shared" si="38"/>
        <v>12.599732185327372</v>
      </c>
      <c r="AZ32" s="41">
        <v>7460</v>
      </c>
      <c r="BA32" s="41">
        <v>401</v>
      </c>
      <c r="BB32" s="41">
        <f t="shared" si="35"/>
        <v>7861</v>
      </c>
      <c r="BC32" s="42">
        <f t="shared" si="36"/>
        <v>1.6028154414613119E-06</v>
      </c>
      <c r="BD32" s="432">
        <f>'Verification score'!M12</f>
        <v>0.185</v>
      </c>
      <c r="BE32" s="107">
        <f>'Data entry'!$AU$3</f>
        <v>0.1</v>
      </c>
      <c r="BF32" s="432">
        <f>'future bses'!AI12</f>
        <v>0</v>
      </c>
      <c r="BG32" s="107">
        <f>'Data entry'!$AV$3</f>
        <v>0.05</v>
      </c>
      <c r="BH32" s="43">
        <f t="shared" si="37"/>
        <v>0.0001632467527128346</v>
      </c>
    </row>
    <row r="33" spans="2:60" ht="12.75">
      <c r="B33" s="213" t="str">
        <f>'Data entry'!A56</f>
        <v>70a</v>
      </c>
      <c r="C33" s="213">
        <f>'Data entry'!B56</f>
        <v>54</v>
      </c>
      <c r="D33" s="213" t="str">
        <f>'Data entry'!C56</f>
        <v>Name removed</v>
      </c>
      <c r="E33" s="213" t="str">
        <f>'Data entry'!D56</f>
        <v>Cane</v>
      </c>
      <c r="F33" s="213">
        <f>'Data entry'!E56</f>
        <v>24250</v>
      </c>
      <c r="G33" s="213">
        <f>'Data entry'!F56</f>
        <v>13120</v>
      </c>
      <c r="H33" s="213">
        <f>'Data entry'!G56</f>
        <v>11130</v>
      </c>
      <c r="I33" s="597">
        <f>'Data entry'!H56</f>
        <v>0.4589690721649485</v>
      </c>
      <c r="J33" s="214" t="s">
        <v>170</v>
      </c>
      <c r="K33" s="214" t="str">
        <f>'Data entry'!J56</f>
        <v>Lot number removed</v>
      </c>
      <c r="L33" s="214" t="str">
        <f>'Data entry'!K56</f>
        <v>Home Hill</v>
      </c>
      <c r="M33" s="214" t="s">
        <v>524</v>
      </c>
      <c r="N33" s="214">
        <f>'Data entry'!L56</f>
        <v>0</v>
      </c>
      <c r="O33" s="214">
        <f>'Data entry'!M56</f>
        <v>0</v>
      </c>
      <c r="P33" s="214">
        <f>'Data entry'!N56</f>
        <v>3</v>
      </c>
      <c r="Q33" s="214">
        <f>'Data entry'!O56</f>
        <v>5</v>
      </c>
      <c r="R33" s="214">
        <f>'Data entry'!P56</f>
        <v>0</v>
      </c>
      <c r="S33" s="326">
        <f>'current bses'!R56+'current bses'!U56+'current bses'!X56</f>
        <v>25.900000000000002</v>
      </c>
      <c r="T33" s="2" t="s">
        <v>526</v>
      </c>
      <c r="U33" s="214">
        <f>'Data entry'!AD56</f>
        <v>380</v>
      </c>
      <c r="V33" s="214">
        <f>'thorburn clases'!D56</f>
        <v>2</v>
      </c>
      <c r="W33" s="214">
        <f>'N movement slave'!G56</f>
        <v>136</v>
      </c>
      <c r="X33" s="214">
        <f>'N movement slave'!H56</f>
        <v>1605</v>
      </c>
      <c r="Y33" s="214">
        <f>'N movement slave'!I56</f>
        <v>47</v>
      </c>
      <c r="Z33" s="214">
        <f>'N movement slave'!J56</f>
        <v>310</v>
      </c>
      <c r="AA33" s="214">
        <f>'N movement slave'!K56</f>
        <v>2</v>
      </c>
      <c r="AB33" s="37">
        <f t="shared" si="43"/>
        <v>0.9223</v>
      </c>
      <c r="AC33" s="58">
        <f>'Data entry'!X56</f>
        <v>239.46</v>
      </c>
      <c r="AD33" s="58">
        <f>'Data entry'!Y56</f>
        <v>205.8</v>
      </c>
      <c r="AE33" s="36">
        <v>0.2</v>
      </c>
      <c r="AF33" s="35">
        <f t="shared" si="23"/>
        <v>76.57402941176471</v>
      </c>
      <c r="AG33" s="35">
        <f t="shared" si="24"/>
        <v>3.1254705882352942</v>
      </c>
      <c r="AH33" s="35">
        <f t="shared" si="25"/>
        <v>25741.810205117654</v>
      </c>
      <c r="AI33" s="35">
        <f t="shared" si="26"/>
        <v>1095.3961789411765</v>
      </c>
      <c r="AJ33" s="35">
        <f t="shared" si="27"/>
        <v>87.266</v>
      </c>
      <c r="AK33" s="35">
        <f t="shared" si="28"/>
        <v>3.5618775510204084</v>
      </c>
      <c r="AL33" s="35">
        <f t="shared" si="29"/>
        <v>1248.3454728163265</v>
      </c>
      <c r="AM33" s="58">
        <f>AC33-(0.75*AC33)</f>
        <v>59.86500000000001</v>
      </c>
      <c r="AN33" s="610">
        <f>AD33</f>
        <v>205.8</v>
      </c>
      <c r="AO33" s="35">
        <f t="shared" si="30"/>
        <v>63.63262500000002</v>
      </c>
      <c r="AP33" s="35">
        <f t="shared" si="40"/>
        <v>2.5972500000000007</v>
      </c>
      <c r="AQ33" s="35">
        <f t="shared" si="31"/>
        <v>21391.312017750006</v>
      </c>
      <c r="AR33" s="35">
        <f t="shared" si="32"/>
        <v>910.2685965000003</v>
      </c>
      <c r="AS33" s="35">
        <f t="shared" si="33"/>
        <v>69.30650000000001</v>
      </c>
      <c r="AT33" s="35">
        <f t="shared" si="41"/>
        <v>2.828836734693878</v>
      </c>
      <c r="AU33" s="35">
        <f t="shared" si="42"/>
        <v>991.4337257551023</v>
      </c>
      <c r="AV33" s="38">
        <f t="shared" si="34"/>
        <v>620.177401177941</v>
      </c>
      <c r="AW33" s="39">
        <v>2.5</v>
      </c>
      <c r="AX33" s="40">
        <v>1</v>
      </c>
      <c r="AY33" s="38">
        <f t="shared" si="38"/>
        <v>1550.4435029448523</v>
      </c>
      <c r="AZ33" s="41">
        <v>7460</v>
      </c>
      <c r="BA33" s="41">
        <v>401</v>
      </c>
      <c r="BB33" s="41">
        <f t="shared" si="35"/>
        <v>7861</v>
      </c>
      <c r="BC33" s="42">
        <f t="shared" si="36"/>
        <v>0.00019723234994846104</v>
      </c>
      <c r="BD33" s="432">
        <f>'Verification score'!M13</f>
        <v>0.49583333333333335</v>
      </c>
      <c r="BE33" s="107">
        <f>'Data entry'!$AU$3</f>
        <v>0.1</v>
      </c>
      <c r="BF33" s="432">
        <f>'future bses'!AI13</f>
        <v>0.0125</v>
      </c>
      <c r="BG33" s="107">
        <f>'Data entry'!$AV$3</f>
        <v>0.05</v>
      </c>
      <c r="BH33" s="43">
        <f t="shared" si="37"/>
        <v>0.020714116966713478</v>
      </c>
    </row>
    <row r="34" spans="2:60" ht="12.75">
      <c r="B34" s="213" t="str">
        <f>'Data entry'!A68</f>
        <v>85a</v>
      </c>
      <c r="C34" s="213">
        <f>'Data entry'!B68</f>
        <v>66</v>
      </c>
      <c r="D34" s="213" t="str">
        <f>'Data entry'!C68</f>
        <v>Name removed</v>
      </c>
      <c r="E34" s="213" t="str">
        <f>'Data entry'!D68</f>
        <v>Cane</v>
      </c>
      <c r="F34" s="213">
        <f>'Data entry'!E68</f>
        <v>62698</v>
      </c>
      <c r="G34" s="213">
        <f>'Data entry'!F68</f>
        <v>21250</v>
      </c>
      <c r="H34" s="213">
        <f>'Data entry'!G68</f>
        <v>41448</v>
      </c>
      <c r="I34" s="597">
        <f>'Data entry'!H68</f>
        <v>0.661073718459919</v>
      </c>
      <c r="J34" s="214" t="s">
        <v>171</v>
      </c>
      <c r="K34" s="214" t="str">
        <f>'Data entry'!J68</f>
        <v>Lot number removed</v>
      </c>
      <c r="L34" s="214" t="str">
        <f>'Data entry'!K68</f>
        <v>Ayr</v>
      </c>
      <c r="M34" s="2" t="s">
        <v>524</v>
      </c>
      <c r="N34" s="214">
        <f>'Data entry'!L68</f>
        <v>0</v>
      </c>
      <c r="O34" s="214">
        <f>'Data entry'!M68</f>
        <v>0</v>
      </c>
      <c r="P34" s="214">
        <f>'Data entry'!N68</f>
        <v>3</v>
      </c>
      <c r="Q34" s="214">
        <f>'Data entry'!O68</f>
        <v>5</v>
      </c>
      <c r="R34" s="214">
        <f>'Data entry'!P68</f>
        <v>0</v>
      </c>
      <c r="S34" s="326">
        <f>'current bses'!R68+'current bses'!U68+'current bses'!X68</f>
        <v>1.8</v>
      </c>
      <c r="T34" s="2" t="s">
        <v>526</v>
      </c>
      <c r="U34" s="214">
        <f>'Data entry'!AD68</f>
        <v>56</v>
      </c>
      <c r="V34" s="214">
        <f>'thorburn clases'!D68</f>
        <v>2</v>
      </c>
      <c r="W34" s="214">
        <f>'N movement slave'!G68</f>
        <v>136</v>
      </c>
      <c r="X34" s="214">
        <f>'N movement slave'!H68</f>
        <v>1605</v>
      </c>
      <c r="Y34" s="214">
        <f>'N movement slave'!I68</f>
        <v>47</v>
      </c>
      <c r="Z34" s="214">
        <f>'N movement slave'!J68</f>
        <v>310</v>
      </c>
      <c r="AA34" s="214">
        <f>'N movement slave'!K68</f>
        <v>2</v>
      </c>
      <c r="AB34" s="37">
        <f t="shared" si="43"/>
        <v>0.9946</v>
      </c>
      <c r="AC34" s="58">
        <f>'Data entry'!X68</f>
        <v>142.025</v>
      </c>
      <c r="AD34" s="58">
        <f>'Data entry'!Y68</f>
        <v>170.43</v>
      </c>
      <c r="AE34" s="36">
        <v>0.2</v>
      </c>
      <c r="AF34" s="35">
        <f t="shared" si="23"/>
        <v>59.3580955882353</v>
      </c>
      <c r="AG34" s="35">
        <f t="shared" si="24"/>
        <v>2.422779411764706</v>
      </c>
      <c r="AH34" s="35">
        <f t="shared" si="25"/>
        <v>3171.160466270589</v>
      </c>
      <c r="AI34" s="35">
        <f t="shared" si="26"/>
        <v>134.94299856470587</v>
      </c>
      <c r="AJ34" s="35">
        <f t="shared" si="27"/>
        <v>63.37450000000001</v>
      </c>
      <c r="AK34" s="35">
        <f t="shared" si="28"/>
        <v>2.586714285714286</v>
      </c>
      <c r="AL34" s="35">
        <f t="shared" si="29"/>
        <v>144.07377760000003</v>
      </c>
      <c r="AM34" s="58">
        <f>AC34-(0.75*AC34)</f>
        <v>35.506249999999994</v>
      </c>
      <c r="AN34" s="610">
        <f>AD34</f>
        <v>170.43</v>
      </c>
      <c r="AO34" s="35">
        <f t="shared" si="30"/>
        <v>51.68247977941177</v>
      </c>
      <c r="AP34" s="35">
        <f t="shared" si="40"/>
        <v>2.1094889705882354</v>
      </c>
      <c r="AQ34" s="35">
        <f t="shared" si="31"/>
        <v>2761.09661287353</v>
      </c>
      <c r="AR34" s="35">
        <f t="shared" si="32"/>
        <v>117.49347288823532</v>
      </c>
      <c r="AS34" s="35">
        <f t="shared" si="33"/>
        <v>52.72262500000001</v>
      </c>
      <c r="AT34" s="35">
        <f t="shared" si="41"/>
        <v>2.151943877551021</v>
      </c>
      <c r="AU34" s="35">
        <f t="shared" si="42"/>
        <v>119.85810931428574</v>
      </c>
      <c r="AV34" s="38">
        <f t="shared" si="34"/>
        <v>58.45591101617647</v>
      </c>
      <c r="AW34" s="39">
        <v>2.5</v>
      </c>
      <c r="AX34" s="40">
        <v>1</v>
      </c>
      <c r="AY34" s="38">
        <f t="shared" si="38"/>
        <v>146.13977754044117</v>
      </c>
      <c r="AZ34" s="41">
        <v>7460</v>
      </c>
      <c r="BA34" s="41">
        <v>401</v>
      </c>
      <c r="BB34" s="41">
        <f t="shared" si="35"/>
        <v>7861</v>
      </c>
      <c r="BC34" s="42">
        <f t="shared" si="36"/>
        <v>1.8590481814074694E-05</v>
      </c>
      <c r="BD34" s="432">
        <f>'Verification score'!M14</f>
        <v>0.35041666666666665</v>
      </c>
      <c r="BE34" s="107">
        <f>'Data entry'!$AU$3</f>
        <v>0.1</v>
      </c>
      <c r="BF34" s="432">
        <f>'future bses'!AI14</f>
        <v>0.016428571428571435</v>
      </c>
      <c r="BG34" s="107">
        <f>'Data entry'!$AV$3</f>
        <v>0.05</v>
      </c>
      <c r="BH34" s="43">
        <f t="shared" si="37"/>
        <v>0.0019257729146528457</v>
      </c>
    </row>
    <row r="35" spans="2:60" ht="12.75">
      <c r="B35" s="213" t="str">
        <f>'Data entry'!A69</f>
        <v>85b</v>
      </c>
      <c r="C35" s="213">
        <f>'Data entry'!B69</f>
        <v>67</v>
      </c>
      <c r="D35" s="213" t="str">
        <f>'Data entry'!C69</f>
        <v>Name removed</v>
      </c>
      <c r="E35" s="213" t="str">
        <f>'Data entry'!D69</f>
        <v>Cane</v>
      </c>
      <c r="F35" s="213">
        <f>'Data entry'!E69</f>
        <v>77440</v>
      </c>
      <c r="G35" s="213">
        <f>'Data entry'!F69</f>
        <v>40000</v>
      </c>
      <c r="H35" s="213">
        <f>'Data entry'!G69</f>
        <v>37440</v>
      </c>
      <c r="I35" s="597">
        <f>'Data entry'!H69</f>
        <v>0.4834710743801653</v>
      </c>
      <c r="J35" s="214" t="s">
        <v>171</v>
      </c>
      <c r="K35" s="214" t="str">
        <f>'Data entry'!J69</f>
        <v>Lot number removed</v>
      </c>
      <c r="L35" s="214" t="str">
        <f>'Data entry'!K69</f>
        <v>Ayr</v>
      </c>
      <c r="M35" s="2" t="s">
        <v>524</v>
      </c>
      <c r="N35" s="214">
        <f>'Data entry'!L69</f>
        <v>0</v>
      </c>
      <c r="O35" s="214">
        <f>'Data entry'!M69</f>
        <v>0</v>
      </c>
      <c r="P35" s="214">
        <f>'Data entry'!N69</f>
        <v>3</v>
      </c>
      <c r="Q35" s="214">
        <f>'Data entry'!O69</f>
        <v>5</v>
      </c>
      <c r="R35" s="214">
        <f>'Data entry'!P69</f>
        <v>0</v>
      </c>
      <c r="S35" s="326">
        <f>'current bses'!R69+'current bses'!U69+'current bses'!X69</f>
        <v>1.8</v>
      </c>
      <c r="T35" s="2" t="s">
        <v>526</v>
      </c>
      <c r="U35" s="214">
        <f>'Data entry'!AD69</f>
        <v>56</v>
      </c>
      <c r="V35" s="214">
        <f>'thorburn clases'!D69</f>
        <v>2</v>
      </c>
      <c r="W35" s="214">
        <f>'N movement slave'!G69</f>
        <v>136</v>
      </c>
      <c r="X35" s="214">
        <f>'N movement slave'!H69</f>
        <v>1605</v>
      </c>
      <c r="Y35" s="214">
        <f>'N movement slave'!I69</f>
        <v>47</v>
      </c>
      <c r="Z35" s="214">
        <f>'N movement slave'!J69</f>
        <v>310</v>
      </c>
      <c r="AA35" s="214">
        <f>'N movement slave'!K69</f>
        <v>2</v>
      </c>
      <c r="AB35" s="37">
        <f t="shared" si="43"/>
        <v>0.9946</v>
      </c>
      <c r="AC35" s="58">
        <f>'Data entry'!X69</f>
        <v>142.025</v>
      </c>
      <c r="AD35" s="58">
        <f>'Data entry'!Y69</f>
        <v>170.43</v>
      </c>
      <c r="AE35" s="36">
        <v>0.2</v>
      </c>
      <c r="AF35" s="35">
        <f t="shared" si="23"/>
        <v>59.3580955882353</v>
      </c>
      <c r="AG35" s="35">
        <f t="shared" si="24"/>
        <v>2.422779411764706</v>
      </c>
      <c r="AH35" s="35">
        <f t="shared" si="25"/>
        <v>3171.160466270589</v>
      </c>
      <c r="AI35" s="35">
        <f t="shared" si="26"/>
        <v>134.94299856470587</v>
      </c>
      <c r="AJ35" s="35">
        <f t="shared" si="27"/>
        <v>63.37450000000001</v>
      </c>
      <c r="AK35" s="35">
        <f t="shared" si="28"/>
        <v>2.586714285714286</v>
      </c>
      <c r="AL35" s="35">
        <f t="shared" si="29"/>
        <v>144.07377760000003</v>
      </c>
      <c r="AM35" s="58">
        <f>AC35-(0.75*AC35)</f>
        <v>35.506249999999994</v>
      </c>
      <c r="AN35" s="610">
        <f>AD35</f>
        <v>170.43</v>
      </c>
      <c r="AO35" s="35">
        <f t="shared" si="30"/>
        <v>51.68247977941177</v>
      </c>
      <c r="AP35" s="35">
        <f t="shared" si="40"/>
        <v>2.1094889705882354</v>
      </c>
      <c r="AQ35" s="35">
        <f t="shared" si="31"/>
        <v>2761.09661287353</v>
      </c>
      <c r="AR35" s="35">
        <f t="shared" si="32"/>
        <v>117.49347288823532</v>
      </c>
      <c r="AS35" s="35">
        <f t="shared" si="33"/>
        <v>52.72262500000001</v>
      </c>
      <c r="AT35" s="35">
        <f t="shared" si="41"/>
        <v>2.151943877551021</v>
      </c>
      <c r="AU35" s="35">
        <f t="shared" si="42"/>
        <v>119.85810931428574</v>
      </c>
      <c r="AV35" s="38">
        <f t="shared" si="34"/>
        <v>58.45591101617647</v>
      </c>
      <c r="AW35" s="39">
        <v>2.5</v>
      </c>
      <c r="AX35" s="40">
        <v>1</v>
      </c>
      <c r="AY35" s="38">
        <f t="shared" si="38"/>
        <v>146.13977754044117</v>
      </c>
      <c r="AZ35" s="41">
        <v>7460</v>
      </c>
      <c r="BA35" s="41">
        <v>401</v>
      </c>
      <c r="BB35" s="41">
        <f t="shared" si="35"/>
        <v>7861</v>
      </c>
      <c r="BC35" s="42">
        <f t="shared" si="36"/>
        <v>1.8590481814074694E-05</v>
      </c>
      <c r="BD35" s="432">
        <f>'Verification score'!M15</f>
        <v>0.43291666666666667</v>
      </c>
      <c r="BE35" s="107">
        <f>'Data entry'!$AU$3</f>
        <v>0.1</v>
      </c>
      <c r="BF35" s="432">
        <f>'future bses'!AI15</f>
        <v>0.009285714285714291</v>
      </c>
      <c r="BG35" s="107">
        <f>'Data entry'!$AV$3</f>
        <v>0.05</v>
      </c>
      <c r="BH35" s="43">
        <f t="shared" si="37"/>
        <v>0.0019404299714221895</v>
      </c>
    </row>
    <row r="36" spans="2:60" ht="12.75">
      <c r="B36" s="213">
        <f>'Data entry'!A82</f>
        <v>101</v>
      </c>
      <c r="C36" s="213">
        <f>'Data entry'!B82</f>
        <v>80</v>
      </c>
      <c r="D36" s="213" t="str">
        <f>'Data entry'!C82</f>
        <v>Name removed</v>
      </c>
      <c r="E36" s="213" t="str">
        <f>'Data entry'!D82</f>
        <v>Cane</v>
      </c>
      <c r="F36" s="213">
        <f>'Data entry'!E82</f>
        <v>70000</v>
      </c>
      <c r="G36" s="213">
        <f>'Data entry'!F82</f>
        <v>50000</v>
      </c>
      <c r="H36" s="213">
        <f>'Data entry'!G82</f>
        <v>20000</v>
      </c>
      <c r="I36" s="597">
        <f>'Data entry'!H82</f>
        <v>0.2857142857142857</v>
      </c>
      <c r="J36" s="600" t="s">
        <v>172</v>
      </c>
      <c r="K36" s="600" t="str">
        <f>'Data entry'!J82</f>
        <v>No lot number supplied</v>
      </c>
      <c r="L36" s="600">
        <f>'Data entry'!K82</f>
        <v>0</v>
      </c>
      <c r="M36" s="2" t="s">
        <v>527</v>
      </c>
      <c r="N36" s="214">
        <f>'Data entry'!L82</f>
        <v>0</v>
      </c>
      <c r="O36" s="214">
        <f>'Data entry'!M82</f>
        <v>0</v>
      </c>
      <c r="P36" s="214">
        <f>'Data entry'!N82</f>
        <v>4</v>
      </c>
      <c r="Q36" s="214">
        <f>'Data entry'!O82</f>
        <v>5</v>
      </c>
      <c r="R36" s="214">
        <f>'Data entry'!P82</f>
        <v>0</v>
      </c>
      <c r="S36" s="326">
        <f>'current bses'!R70+'current bses'!U70+'current bses'!X70</f>
        <v>24</v>
      </c>
      <c r="T36" s="214" t="str">
        <f>M36</f>
        <v>5% reduction in future and a further 2.5% reduction in plant</v>
      </c>
      <c r="U36" s="214">
        <f>'Data entry'!AD82</f>
        <v>682</v>
      </c>
      <c r="V36" s="214">
        <f>'thorburn clases'!D82</f>
        <v>2</v>
      </c>
      <c r="W36" s="214">
        <f>'N movement slave'!G82</f>
        <v>144</v>
      </c>
      <c r="X36" s="214">
        <f>'N movement slave'!H82</f>
        <v>1184</v>
      </c>
      <c r="Y36" s="214">
        <f>'N movement slave'!I82</f>
        <v>18</v>
      </c>
      <c r="Z36" s="214">
        <f>'N movement slave'!J82</f>
        <v>450</v>
      </c>
      <c r="AA36" s="214">
        <f>'N movement slave'!K82</f>
        <v>2</v>
      </c>
      <c r="AB36" s="37">
        <f t="shared" si="43"/>
        <v>0.928</v>
      </c>
      <c r="AC36" s="58">
        <f>'Data entry'!X82</f>
        <v>83.05375</v>
      </c>
      <c r="AD36" s="58">
        <f>'Data entry'!Y82</f>
        <v>175.37</v>
      </c>
      <c r="AE36" s="36">
        <v>0.2</v>
      </c>
      <c r="AF36" s="35">
        <f t="shared" si="23"/>
        <v>21.792604166666667</v>
      </c>
      <c r="AG36" s="35">
        <f t="shared" si="24"/>
        <v>2.1792604166666667</v>
      </c>
      <c r="AH36" s="35">
        <f t="shared" si="25"/>
        <v>12413.206805999998</v>
      </c>
      <c r="AI36" s="35">
        <f t="shared" si="26"/>
        <v>1379.2452006666667</v>
      </c>
      <c r="AJ36" s="35">
        <f t="shared" si="27"/>
        <v>26.45337500000001</v>
      </c>
      <c r="AK36" s="35">
        <f t="shared" si="28"/>
        <v>2.645337500000001</v>
      </c>
      <c r="AL36" s="35">
        <f t="shared" si="29"/>
        <v>1674.2235224000008</v>
      </c>
      <c r="AM36" s="64">
        <f>(AC36-(0.05*AC36))-(0.025*AC36)</f>
        <v>76.82471874999999</v>
      </c>
      <c r="AN36" s="611">
        <f>AD36-(0.05*AD36)</f>
        <v>166.60150000000002</v>
      </c>
      <c r="AO36" s="35">
        <f t="shared" si="30"/>
        <v>20.645297743055558</v>
      </c>
      <c r="AP36" s="35">
        <f t="shared" si="40"/>
        <v>2.064529774305556</v>
      </c>
      <c r="AQ36" s="35">
        <f t="shared" si="31"/>
        <v>11759.693724350003</v>
      </c>
      <c r="AR36" s="35">
        <f t="shared" si="32"/>
        <v>1306.6326360388891</v>
      </c>
      <c r="AS36" s="35">
        <f t="shared" si="33"/>
        <v>22.32307187500001</v>
      </c>
      <c r="AT36" s="35">
        <f t="shared" si="41"/>
        <v>2.232307187500001</v>
      </c>
      <c r="AU36" s="35">
        <f t="shared" si="42"/>
        <v>1412.8182897400006</v>
      </c>
      <c r="AV36" s="38">
        <f t="shared" si="34"/>
        <v>137.96387279277712</v>
      </c>
      <c r="AW36" s="39">
        <v>2.5</v>
      </c>
      <c r="AX36" s="40">
        <v>1</v>
      </c>
      <c r="AY36" s="38">
        <f t="shared" si="38"/>
        <v>344.9096819819428</v>
      </c>
      <c r="AZ36" s="41">
        <v>7460</v>
      </c>
      <c r="BA36" s="41">
        <v>401</v>
      </c>
      <c r="BB36" s="41">
        <f t="shared" si="35"/>
        <v>7861</v>
      </c>
      <c r="BC36" s="42">
        <f t="shared" si="36"/>
        <v>4.3876056733487196E-05</v>
      </c>
      <c r="BD36" s="432">
        <f>'Verification score'!M16</f>
        <v>0.24625</v>
      </c>
      <c r="BE36" s="107">
        <f>'Data entry'!$AU$3</f>
        <v>0.1</v>
      </c>
      <c r="BF36" s="432">
        <f>'future bses'!AI16</f>
        <v>0.0125</v>
      </c>
      <c r="BG36" s="107">
        <f>'Data entry'!$AV$3</f>
        <v>0.05</v>
      </c>
      <c r="BH36" s="43">
        <f t="shared" si="37"/>
        <v>0.0044984602445943414</v>
      </c>
    </row>
  </sheetData>
  <sheetProtection/>
  <mergeCells count="3">
    <mergeCell ref="AW6:AW7"/>
    <mergeCell ref="C7:K7"/>
    <mergeCell ref="T7:AU7"/>
  </mergeCells>
  <printOptions/>
  <pageMargins left="0.75" right="0.75" top="1" bottom="1" header="0.5" footer="0.5"/>
  <pageSetup horizontalDpi="600" verticalDpi="600" orientation="portrait" paperSize="9" r:id="rId3"/>
  <legacyDrawing r:id="rId2"/>
</worksheet>
</file>

<file path=xl/worksheets/sheet8.xml><?xml version="1.0" encoding="utf-8"?>
<worksheet xmlns="http://schemas.openxmlformats.org/spreadsheetml/2006/main" xmlns:r="http://schemas.openxmlformats.org/officeDocument/2006/relationships">
  <dimension ref="A1:AI218"/>
  <sheetViews>
    <sheetView workbookViewId="0" topLeftCell="A1">
      <pane xSplit="1" ySplit="2" topLeftCell="B8" activePane="bottomRight" state="frozen"/>
      <selection pane="topLeft" activeCell="A1" sqref="A1"/>
      <selection pane="topRight" activeCell="B1" sqref="B1"/>
      <selection pane="bottomLeft" activeCell="A3" sqref="A3"/>
      <selection pane="bottomRight" activeCell="AA96" sqref="AA96"/>
    </sheetView>
  </sheetViews>
  <sheetFormatPr defaultColWidth="9.140625" defaultRowHeight="12.75"/>
  <cols>
    <col min="1" max="16384" width="9.140625" style="133" customWidth="1"/>
  </cols>
  <sheetData>
    <row r="1" spans="2:29" ht="34.5" customHeight="1">
      <c r="B1" s="804" t="s">
        <v>48</v>
      </c>
      <c r="C1" s="804"/>
      <c r="D1" s="134" t="s">
        <v>61</v>
      </c>
      <c r="E1" s="804" t="s">
        <v>49</v>
      </c>
      <c r="F1" s="804"/>
      <c r="G1" s="134"/>
      <c r="H1" s="804" t="s">
        <v>50</v>
      </c>
      <c r="I1" s="804"/>
      <c r="J1" s="134"/>
      <c r="K1" s="804" t="s">
        <v>414</v>
      </c>
      <c r="L1" s="804"/>
      <c r="M1" s="134"/>
      <c r="N1" s="804" t="s">
        <v>415</v>
      </c>
      <c r="O1" s="804"/>
      <c r="P1" s="134"/>
      <c r="Q1" s="804" t="s">
        <v>585</v>
      </c>
      <c r="R1" s="804"/>
      <c r="S1" s="134"/>
      <c r="T1" s="804" t="s">
        <v>586</v>
      </c>
      <c r="U1" s="804"/>
      <c r="V1" s="134"/>
      <c r="W1" s="804" t="s">
        <v>587</v>
      </c>
      <c r="X1" s="804"/>
      <c r="Y1" s="134"/>
      <c r="Z1" s="804" t="s">
        <v>416</v>
      </c>
      <c r="AA1" s="804"/>
      <c r="AB1" s="134"/>
      <c r="AC1" s="134"/>
    </row>
    <row r="2" spans="2:35" ht="51">
      <c r="B2" s="135" t="s">
        <v>57</v>
      </c>
      <c r="C2" s="135" t="s">
        <v>58</v>
      </c>
      <c r="D2" s="135">
        <f>MAX(B3:B87)</f>
        <v>88.625</v>
      </c>
      <c r="E2" s="135" t="s">
        <v>57</v>
      </c>
      <c r="F2" s="135" t="s">
        <v>58</v>
      </c>
      <c r="G2" s="135">
        <f>MAX(E3:E87)</f>
        <v>94.5</v>
      </c>
      <c r="H2" s="135" t="s">
        <v>57</v>
      </c>
      <c r="I2" s="135" t="s">
        <v>58</v>
      </c>
      <c r="J2" s="135">
        <f>MAX(H3:H87)</f>
        <v>70</v>
      </c>
      <c r="K2" s="135" t="s">
        <v>57</v>
      </c>
      <c r="L2" s="135" t="s">
        <v>58</v>
      </c>
      <c r="M2" s="135">
        <f>MAX(K3:K87)</f>
        <v>91.25</v>
      </c>
      <c r="N2" s="135" t="s">
        <v>57</v>
      </c>
      <c r="O2" s="135" t="s">
        <v>58</v>
      </c>
      <c r="P2" s="135">
        <f>MAX(N3:N87)</f>
        <v>153</v>
      </c>
      <c r="Q2" s="135" t="s">
        <v>57</v>
      </c>
      <c r="R2" s="135" t="s">
        <v>58</v>
      </c>
      <c r="S2" s="135">
        <f>MAX(Q3:Q87)</f>
        <v>151</v>
      </c>
      <c r="T2" s="135" t="s">
        <v>57</v>
      </c>
      <c r="U2" s="135" t="s">
        <v>58</v>
      </c>
      <c r="V2" s="135">
        <f>MAX(T3:T87)</f>
        <v>10</v>
      </c>
      <c r="W2" s="135" t="s">
        <v>57</v>
      </c>
      <c r="X2" s="135" t="s">
        <v>58</v>
      </c>
      <c r="Y2" s="135">
        <f>MAX(W3:W87)</f>
        <v>10</v>
      </c>
      <c r="Z2" s="135" t="s">
        <v>57</v>
      </c>
      <c r="AA2" s="135" t="s">
        <v>58</v>
      </c>
      <c r="AB2" s="135">
        <f>MAX(Z3:Z87)</f>
        <v>105.5</v>
      </c>
      <c r="AC2" s="135">
        <f>MAX(Z3:Z87)</f>
        <v>105.5</v>
      </c>
      <c r="AD2" s="136" t="s">
        <v>60</v>
      </c>
      <c r="AE2" s="137"/>
      <c r="AF2" s="137"/>
      <c r="AG2" s="138"/>
      <c r="AH2" s="137"/>
      <c r="AI2" s="138"/>
    </row>
    <row r="3" spans="1:35" ht="15.75">
      <c r="A3" s="139">
        <v>1</v>
      </c>
      <c r="B3" s="140">
        <v>44.5</v>
      </c>
      <c r="C3" s="140">
        <v>2.225</v>
      </c>
      <c r="D3" s="141">
        <f>B3/$D$2</f>
        <v>0.5021156558533145</v>
      </c>
      <c r="E3" s="140">
        <v>57.5</v>
      </c>
      <c r="F3" s="140">
        <v>1.4375</v>
      </c>
      <c r="G3" s="141">
        <f>E3/$G$2</f>
        <v>0.6084656084656085</v>
      </c>
      <c r="H3" s="140">
        <v>46</v>
      </c>
      <c r="I3" s="140">
        <v>1.15</v>
      </c>
      <c r="J3" s="141">
        <f>H3/$J$2</f>
        <v>0.6571428571428571</v>
      </c>
      <c r="K3" s="140">
        <v>26.25</v>
      </c>
      <c r="L3" s="140">
        <v>7.875</v>
      </c>
      <c r="M3" s="141">
        <f>K3/$M$2</f>
        <v>0.2876712328767123</v>
      </c>
      <c r="N3" s="140">
        <v>20</v>
      </c>
      <c r="O3" s="140">
        <v>2</v>
      </c>
      <c r="P3" s="141">
        <f>N3/$P$2</f>
        <v>0.13071895424836602</v>
      </c>
      <c r="Q3" s="449">
        <v>115</v>
      </c>
      <c r="R3" s="140">
        <v>30</v>
      </c>
      <c r="S3" s="141">
        <f>Q3/$S$2</f>
        <v>0.7615894039735099</v>
      </c>
      <c r="T3" s="140">
        <v>3</v>
      </c>
      <c r="U3" s="140">
        <v>0.3</v>
      </c>
      <c r="V3" s="141">
        <f>T3/$V$2</f>
        <v>0.3</v>
      </c>
      <c r="W3" s="140">
        <v>10</v>
      </c>
      <c r="X3" s="140">
        <v>1</v>
      </c>
      <c r="Y3" s="141">
        <f>W3/$Y$2</f>
        <v>1</v>
      </c>
      <c r="Z3" s="140">
        <v>74</v>
      </c>
      <c r="AA3" s="140">
        <v>7.4</v>
      </c>
      <c r="AB3" s="141">
        <f>Z3/$AB$2</f>
        <v>0.7014218009478673</v>
      </c>
      <c r="AC3" s="142">
        <f>SUM(B3,E3,H3,K3,N3,Q3,T3,W3,Z3)</f>
        <v>396.25</v>
      </c>
      <c r="AD3" s="143">
        <f>SUM(C3,F3,I3,L3,O3,R3,U3,X3,AA3)</f>
        <v>53.387499999999996</v>
      </c>
      <c r="AE3" s="144"/>
      <c r="AF3" s="156"/>
      <c r="AG3" s="138"/>
      <c r="AH3" s="156"/>
      <c r="AI3" s="138"/>
    </row>
    <row r="4" spans="1:35" ht="15.75">
      <c r="A4" s="139">
        <v>2</v>
      </c>
      <c r="B4" s="140">
        <v>37.625</v>
      </c>
      <c r="C4" s="140">
        <v>1.88125</v>
      </c>
      <c r="D4" s="141">
        <f aca="true" t="shared" si="0" ref="D4:D72">B4/$D$2</f>
        <v>0.4245416078984485</v>
      </c>
      <c r="E4" s="140">
        <v>43</v>
      </c>
      <c r="F4" s="140">
        <v>1.075</v>
      </c>
      <c r="G4" s="141">
        <f aca="true" t="shared" si="1" ref="G4:G72">E4/$G$2</f>
        <v>0.455026455026455</v>
      </c>
      <c r="H4" s="140">
        <v>46</v>
      </c>
      <c r="I4" s="140">
        <v>1.15</v>
      </c>
      <c r="J4" s="141">
        <f aca="true" t="shared" si="2" ref="J4:J72">H4/$J$2</f>
        <v>0.6571428571428571</v>
      </c>
      <c r="K4" s="140">
        <v>22.5</v>
      </c>
      <c r="L4" s="140">
        <v>6.75</v>
      </c>
      <c r="M4" s="141">
        <f aca="true" t="shared" si="3" ref="M4:M72">K4/$M$2</f>
        <v>0.2465753424657534</v>
      </c>
      <c r="N4" s="140">
        <v>30</v>
      </c>
      <c r="O4" s="140">
        <v>3</v>
      </c>
      <c r="P4" s="141">
        <f aca="true" t="shared" si="4" ref="P4:P72">N4/$P$2</f>
        <v>0.19607843137254902</v>
      </c>
      <c r="Q4" s="140">
        <v>74</v>
      </c>
      <c r="R4" s="140">
        <v>22.2</v>
      </c>
      <c r="S4" s="141">
        <f aca="true" t="shared" si="5" ref="S4:S72">Q4/$S$2</f>
        <v>0.4900662251655629</v>
      </c>
      <c r="T4" s="140">
        <v>8</v>
      </c>
      <c r="U4" s="140">
        <v>0.8</v>
      </c>
      <c r="V4" s="141">
        <f aca="true" t="shared" si="6" ref="V4:V72">T4/$V$2</f>
        <v>0.8</v>
      </c>
      <c r="W4" s="140">
        <v>0</v>
      </c>
      <c r="X4" s="140">
        <v>0</v>
      </c>
      <c r="Y4" s="141">
        <f aca="true" t="shared" si="7" ref="Y4:Y72">W4/$Y$2</f>
        <v>0</v>
      </c>
      <c r="Z4" s="140">
        <v>34.5</v>
      </c>
      <c r="AA4" s="140">
        <v>3.45</v>
      </c>
      <c r="AB4" s="141">
        <f aca="true" t="shared" si="8" ref="AB4:AB72">Z4/$AB$2</f>
        <v>0.32701421800947866</v>
      </c>
      <c r="AC4" s="142">
        <f aca="true" t="shared" si="9" ref="AC4:AC36">SUM(B4,E4,H4,K4,N4,Q4,T4,W4,Z4)</f>
        <v>295.625</v>
      </c>
      <c r="AD4" s="143">
        <f aca="true" t="shared" si="10" ref="AD4:AD35">SUM(C4,F4,I4,L4,O4,R4,U4,X4,AA4)</f>
        <v>40.30625</v>
      </c>
      <c r="AE4" s="144"/>
      <c r="AF4" s="138"/>
      <c r="AG4" s="138"/>
      <c r="AH4" s="138"/>
      <c r="AI4" s="138"/>
    </row>
    <row r="5" spans="1:35" ht="15.75">
      <c r="A5" s="139">
        <v>3</v>
      </c>
      <c r="B5" s="140">
        <v>54.625</v>
      </c>
      <c r="C5" s="140">
        <v>2.73125</v>
      </c>
      <c r="D5" s="141">
        <f t="shared" si="0"/>
        <v>0.616361071932299</v>
      </c>
      <c r="E5" s="140">
        <v>43</v>
      </c>
      <c r="F5" s="140">
        <v>1.075</v>
      </c>
      <c r="G5" s="141">
        <f t="shared" si="1"/>
        <v>0.455026455026455</v>
      </c>
      <c r="H5" s="140">
        <v>12</v>
      </c>
      <c r="I5" s="140">
        <v>0.3</v>
      </c>
      <c r="J5" s="141">
        <f t="shared" si="2"/>
        <v>0.17142857142857143</v>
      </c>
      <c r="K5" s="140">
        <v>22.5</v>
      </c>
      <c r="L5" s="140">
        <v>6.75</v>
      </c>
      <c r="M5" s="141">
        <f t="shared" si="3"/>
        <v>0.2465753424657534</v>
      </c>
      <c r="N5" s="140">
        <v>30</v>
      </c>
      <c r="O5" s="140">
        <v>3</v>
      </c>
      <c r="P5" s="141">
        <f t="shared" si="4"/>
        <v>0.19607843137254902</v>
      </c>
      <c r="Q5" s="140">
        <v>74</v>
      </c>
      <c r="R5" s="140">
        <v>22.2</v>
      </c>
      <c r="S5" s="141">
        <f t="shared" si="5"/>
        <v>0.4900662251655629</v>
      </c>
      <c r="T5" s="140">
        <v>8</v>
      </c>
      <c r="U5" s="140">
        <v>0.8</v>
      </c>
      <c r="V5" s="141">
        <f t="shared" si="6"/>
        <v>0.8</v>
      </c>
      <c r="W5" s="140">
        <v>0</v>
      </c>
      <c r="X5" s="140">
        <v>0</v>
      </c>
      <c r="Y5" s="141">
        <f t="shared" si="7"/>
        <v>0</v>
      </c>
      <c r="Z5" s="140">
        <v>74.5</v>
      </c>
      <c r="AA5" s="140">
        <v>7.45</v>
      </c>
      <c r="AB5" s="141">
        <f t="shared" si="8"/>
        <v>0.7061611374407583</v>
      </c>
      <c r="AC5" s="142">
        <f t="shared" si="9"/>
        <v>318.625</v>
      </c>
      <c r="AD5" s="143">
        <f t="shared" si="10"/>
        <v>44.30625</v>
      </c>
      <c r="AE5" s="144"/>
      <c r="AF5" s="138"/>
      <c r="AG5" s="138"/>
      <c r="AH5" s="138"/>
      <c r="AI5" s="138"/>
    </row>
    <row r="6" spans="1:35" ht="15.75">
      <c r="A6" s="139">
        <v>4</v>
      </c>
      <c r="B6" s="140">
        <v>74</v>
      </c>
      <c r="C6" s="140">
        <v>3.7</v>
      </c>
      <c r="D6" s="141">
        <f t="shared" si="0"/>
        <v>0.8349788434414669</v>
      </c>
      <c r="E6" s="140">
        <v>74</v>
      </c>
      <c r="F6" s="140">
        <v>1.85</v>
      </c>
      <c r="G6" s="141">
        <f t="shared" si="1"/>
        <v>0.783068783068783</v>
      </c>
      <c r="H6" s="140">
        <v>16</v>
      </c>
      <c r="I6" s="140">
        <v>0.4</v>
      </c>
      <c r="J6" s="141">
        <f t="shared" si="2"/>
        <v>0.22857142857142856</v>
      </c>
      <c r="K6" s="140">
        <v>69.25</v>
      </c>
      <c r="L6" s="140">
        <v>20.775</v>
      </c>
      <c r="M6" s="141">
        <f t="shared" si="3"/>
        <v>0.7589041095890411</v>
      </c>
      <c r="N6" s="140">
        <v>10</v>
      </c>
      <c r="O6" s="140">
        <v>1</v>
      </c>
      <c r="P6" s="141">
        <f t="shared" si="4"/>
        <v>0.06535947712418301</v>
      </c>
      <c r="Q6" s="140">
        <v>79</v>
      </c>
      <c r="R6" s="140">
        <v>23.7</v>
      </c>
      <c r="S6" s="141">
        <f t="shared" si="5"/>
        <v>0.5231788079470199</v>
      </c>
      <c r="T6" s="145">
        <v>8</v>
      </c>
      <c r="U6" s="140">
        <v>0.8</v>
      </c>
      <c r="V6" s="141">
        <f t="shared" si="6"/>
        <v>0.8</v>
      </c>
      <c r="W6" s="140">
        <v>10</v>
      </c>
      <c r="X6" s="140">
        <v>1</v>
      </c>
      <c r="Y6" s="141">
        <f t="shared" si="7"/>
        <v>1</v>
      </c>
      <c r="Z6" s="140">
        <v>40</v>
      </c>
      <c r="AA6" s="140">
        <v>4</v>
      </c>
      <c r="AB6" s="141">
        <f t="shared" si="8"/>
        <v>0.3791469194312796</v>
      </c>
      <c r="AC6" s="142">
        <f t="shared" si="9"/>
        <v>380.25</v>
      </c>
      <c r="AD6" s="143">
        <f t="shared" si="10"/>
        <v>57.224999999999994</v>
      </c>
      <c r="AE6" s="144"/>
      <c r="AF6" s="138"/>
      <c r="AG6" s="138"/>
      <c r="AH6" s="138"/>
      <c r="AI6" s="138"/>
    </row>
    <row r="7" spans="1:35" ht="15.75">
      <c r="A7" s="139">
        <v>5</v>
      </c>
      <c r="B7" s="147">
        <v>44.625</v>
      </c>
      <c r="C7" s="147">
        <v>2.23125</v>
      </c>
      <c r="D7" s="141">
        <f t="shared" si="0"/>
        <v>0.5035260930888575</v>
      </c>
      <c r="E7" s="147">
        <v>61.5</v>
      </c>
      <c r="F7" s="147">
        <v>1.5375</v>
      </c>
      <c r="G7" s="141">
        <f t="shared" si="1"/>
        <v>0.6507936507936508</v>
      </c>
      <c r="H7" s="147">
        <v>24</v>
      </c>
      <c r="I7" s="147">
        <v>0.6</v>
      </c>
      <c r="J7" s="141">
        <f t="shared" si="2"/>
        <v>0.34285714285714286</v>
      </c>
      <c r="K7" s="147">
        <v>6.5</v>
      </c>
      <c r="L7" s="147">
        <v>1.95</v>
      </c>
      <c r="M7" s="141">
        <f t="shared" si="3"/>
        <v>0.07123287671232877</v>
      </c>
      <c r="N7" s="147">
        <v>0</v>
      </c>
      <c r="O7" s="147">
        <v>0</v>
      </c>
      <c r="P7" s="141">
        <f t="shared" si="4"/>
        <v>0</v>
      </c>
      <c r="Q7" s="147">
        <v>74</v>
      </c>
      <c r="R7" s="147">
        <v>22.2</v>
      </c>
      <c r="S7" s="141">
        <f t="shared" si="5"/>
        <v>0.4900662251655629</v>
      </c>
      <c r="T7" s="147">
        <v>8</v>
      </c>
      <c r="U7" s="147">
        <v>0.8</v>
      </c>
      <c r="V7" s="141">
        <f t="shared" si="6"/>
        <v>0.8</v>
      </c>
      <c r="W7" s="147">
        <v>10</v>
      </c>
      <c r="X7" s="147">
        <v>1</v>
      </c>
      <c r="Y7" s="141">
        <f t="shared" si="7"/>
        <v>1</v>
      </c>
      <c r="Z7" s="147">
        <v>38.5</v>
      </c>
      <c r="AA7" s="147">
        <v>3.85</v>
      </c>
      <c r="AB7" s="141">
        <f t="shared" si="8"/>
        <v>0.36492890995260663</v>
      </c>
      <c r="AC7" s="142">
        <f t="shared" si="9"/>
        <v>267.125</v>
      </c>
      <c r="AD7" s="143">
        <f t="shared" si="10"/>
        <v>34.16875</v>
      </c>
      <c r="AE7" s="144"/>
      <c r="AF7" s="148"/>
      <c r="AG7" s="148"/>
      <c r="AH7" s="148"/>
      <c r="AI7" s="148"/>
    </row>
    <row r="8" spans="1:35" ht="15.75">
      <c r="A8" s="149">
        <v>6</v>
      </c>
      <c r="B8" s="140">
        <v>57</v>
      </c>
      <c r="C8" s="140">
        <v>2.85</v>
      </c>
      <c r="D8" s="141">
        <f t="shared" si="0"/>
        <v>0.6431593794076164</v>
      </c>
      <c r="E8" s="140">
        <v>60.5</v>
      </c>
      <c r="F8" s="140">
        <v>1.5125</v>
      </c>
      <c r="G8" s="141">
        <f t="shared" si="1"/>
        <v>0.6402116402116402</v>
      </c>
      <c r="H8" s="140">
        <v>16</v>
      </c>
      <c r="I8" s="140">
        <v>0.4</v>
      </c>
      <c r="J8" s="141">
        <f t="shared" si="2"/>
        <v>0.22857142857142856</v>
      </c>
      <c r="K8" s="140">
        <v>55.5</v>
      </c>
      <c r="L8" s="140">
        <v>16.65</v>
      </c>
      <c r="M8" s="141">
        <f t="shared" si="3"/>
        <v>0.6082191780821918</v>
      </c>
      <c r="N8" s="140">
        <v>30</v>
      </c>
      <c r="O8" s="140">
        <v>3</v>
      </c>
      <c r="P8" s="141">
        <f t="shared" si="4"/>
        <v>0.19607843137254902</v>
      </c>
      <c r="Q8" s="140">
        <v>72</v>
      </c>
      <c r="R8" s="140">
        <v>21.6</v>
      </c>
      <c r="S8" s="141">
        <f t="shared" si="5"/>
        <v>0.4768211920529801</v>
      </c>
      <c r="T8" s="140">
        <v>9</v>
      </c>
      <c r="U8" s="140">
        <v>0.9</v>
      </c>
      <c r="V8" s="141">
        <f t="shared" si="6"/>
        <v>0.9</v>
      </c>
      <c r="W8" s="140">
        <v>7.5</v>
      </c>
      <c r="X8" s="140">
        <v>0.75</v>
      </c>
      <c r="Y8" s="141">
        <f t="shared" si="7"/>
        <v>0.75</v>
      </c>
      <c r="Z8" s="140">
        <v>37.5</v>
      </c>
      <c r="AA8" s="140">
        <v>3.75</v>
      </c>
      <c r="AB8" s="141">
        <f t="shared" si="8"/>
        <v>0.35545023696682465</v>
      </c>
      <c r="AC8" s="142">
        <f t="shared" si="9"/>
        <v>345</v>
      </c>
      <c r="AD8" s="143">
        <f t="shared" si="10"/>
        <v>51.4125</v>
      </c>
      <c r="AE8" s="144"/>
      <c r="AF8" s="138"/>
      <c r="AG8" s="138"/>
      <c r="AH8" s="138"/>
      <c r="AI8" s="138"/>
    </row>
    <row r="9" spans="1:35" ht="15.75">
      <c r="A9" s="139" t="s">
        <v>808</v>
      </c>
      <c r="B9" s="140">
        <v>68</v>
      </c>
      <c r="C9" s="140">
        <v>3.4</v>
      </c>
      <c r="D9" s="141">
        <f t="shared" si="0"/>
        <v>0.767277856135402</v>
      </c>
      <c r="E9" s="140">
        <v>69.5</v>
      </c>
      <c r="F9" s="140">
        <v>1.7375</v>
      </c>
      <c r="G9" s="141">
        <f t="shared" si="1"/>
        <v>0.7354497354497355</v>
      </c>
      <c r="H9" s="140">
        <v>24</v>
      </c>
      <c r="I9" s="140">
        <v>0.6</v>
      </c>
      <c r="J9" s="141">
        <f t="shared" si="2"/>
        <v>0.34285714285714286</v>
      </c>
      <c r="K9" s="140">
        <v>29</v>
      </c>
      <c r="L9" s="140">
        <v>8.7</v>
      </c>
      <c r="M9" s="141">
        <f t="shared" si="3"/>
        <v>0.3178082191780822</v>
      </c>
      <c r="N9" s="140">
        <v>30</v>
      </c>
      <c r="O9" s="140">
        <v>3</v>
      </c>
      <c r="P9" s="141">
        <f t="shared" si="4"/>
        <v>0.19607843137254902</v>
      </c>
      <c r="Q9" s="140">
        <v>92</v>
      </c>
      <c r="R9" s="140">
        <v>27.6</v>
      </c>
      <c r="S9" s="141">
        <f t="shared" si="5"/>
        <v>0.609271523178808</v>
      </c>
      <c r="T9" s="140">
        <v>8</v>
      </c>
      <c r="U9" s="140">
        <v>0.8</v>
      </c>
      <c r="V9" s="141">
        <f t="shared" si="6"/>
        <v>0.8</v>
      </c>
      <c r="W9" s="140">
        <v>10</v>
      </c>
      <c r="X9" s="140">
        <v>1</v>
      </c>
      <c r="Y9" s="141">
        <f t="shared" si="7"/>
        <v>1</v>
      </c>
      <c r="Z9" s="140">
        <v>79.5</v>
      </c>
      <c r="AA9" s="140">
        <v>7.95</v>
      </c>
      <c r="AB9" s="141">
        <f t="shared" si="8"/>
        <v>0.7535545023696683</v>
      </c>
      <c r="AC9" s="142">
        <f t="shared" si="9"/>
        <v>410</v>
      </c>
      <c r="AD9" s="143">
        <f t="shared" si="10"/>
        <v>54.7875</v>
      </c>
      <c r="AE9" s="144"/>
      <c r="AF9" s="138"/>
      <c r="AG9" s="138"/>
      <c r="AH9" s="138"/>
      <c r="AI9" s="138"/>
    </row>
    <row r="10" spans="1:35" ht="15.75">
      <c r="A10" s="139" t="s">
        <v>809</v>
      </c>
      <c r="B10" s="140">
        <v>63</v>
      </c>
      <c r="C10" s="140">
        <v>3.15</v>
      </c>
      <c r="D10" s="141">
        <f t="shared" si="0"/>
        <v>0.7108603667136812</v>
      </c>
      <c r="E10" s="140">
        <v>87</v>
      </c>
      <c r="F10" s="140">
        <v>2.175</v>
      </c>
      <c r="G10" s="141">
        <f t="shared" si="1"/>
        <v>0.9206349206349206</v>
      </c>
      <c r="H10" s="140">
        <v>26</v>
      </c>
      <c r="I10" s="140">
        <v>0.65</v>
      </c>
      <c r="J10" s="141">
        <f t="shared" si="2"/>
        <v>0.37142857142857144</v>
      </c>
      <c r="K10" s="140">
        <v>46.5</v>
      </c>
      <c r="L10" s="140">
        <v>13.95</v>
      </c>
      <c r="M10" s="141">
        <f t="shared" si="3"/>
        <v>0.5095890410958904</v>
      </c>
      <c r="N10" s="140">
        <v>41</v>
      </c>
      <c r="O10" s="140">
        <v>4.1</v>
      </c>
      <c r="P10" s="141">
        <f t="shared" si="4"/>
        <v>0.2679738562091503</v>
      </c>
      <c r="Q10" s="140">
        <v>25</v>
      </c>
      <c r="R10" s="140">
        <v>7.5</v>
      </c>
      <c r="S10" s="141">
        <f t="shared" si="5"/>
        <v>0.16556291390728478</v>
      </c>
      <c r="T10" s="140">
        <v>3</v>
      </c>
      <c r="U10" s="140">
        <v>0.3</v>
      </c>
      <c r="V10" s="141">
        <f t="shared" si="6"/>
        <v>0.3</v>
      </c>
      <c r="W10" s="140">
        <v>10</v>
      </c>
      <c r="X10" s="140">
        <v>1</v>
      </c>
      <c r="Y10" s="141">
        <f t="shared" si="7"/>
        <v>1</v>
      </c>
      <c r="Z10" s="140">
        <v>78.5</v>
      </c>
      <c r="AA10" s="140">
        <v>7.85</v>
      </c>
      <c r="AB10" s="141">
        <f t="shared" si="8"/>
        <v>0.7440758293838863</v>
      </c>
      <c r="AC10" s="142">
        <f t="shared" si="9"/>
        <v>380</v>
      </c>
      <c r="AD10" s="143">
        <f t="shared" si="10"/>
        <v>40.675000000000004</v>
      </c>
      <c r="AE10" s="144"/>
      <c r="AF10" s="138"/>
      <c r="AG10" s="138"/>
      <c r="AH10" s="138"/>
      <c r="AI10" s="138"/>
    </row>
    <row r="11" spans="1:35" ht="15.75">
      <c r="A11" s="139">
        <v>12</v>
      </c>
      <c r="B11" s="140">
        <v>53</v>
      </c>
      <c r="C11" s="140">
        <v>2.65</v>
      </c>
      <c r="D11" s="141">
        <f t="shared" si="0"/>
        <v>0.5980253878702397</v>
      </c>
      <c r="E11" s="140">
        <v>87</v>
      </c>
      <c r="F11" s="140">
        <v>2.175</v>
      </c>
      <c r="G11" s="141">
        <f t="shared" si="1"/>
        <v>0.9206349206349206</v>
      </c>
      <c r="H11" s="140">
        <v>26</v>
      </c>
      <c r="I11" s="140">
        <v>0.65</v>
      </c>
      <c r="J11" s="141">
        <f t="shared" si="2"/>
        <v>0.37142857142857144</v>
      </c>
      <c r="K11" s="140">
        <v>46.5</v>
      </c>
      <c r="L11" s="140">
        <v>13.95</v>
      </c>
      <c r="M11" s="141">
        <f t="shared" si="3"/>
        <v>0.5095890410958904</v>
      </c>
      <c r="N11" s="140">
        <v>41</v>
      </c>
      <c r="O11" s="140">
        <v>4.1</v>
      </c>
      <c r="P11" s="141">
        <f t="shared" si="4"/>
        <v>0.2679738562091503</v>
      </c>
      <c r="Q11" s="140">
        <v>25</v>
      </c>
      <c r="R11" s="140">
        <v>7.5</v>
      </c>
      <c r="S11" s="141">
        <f t="shared" si="5"/>
        <v>0.16556291390728478</v>
      </c>
      <c r="T11" s="140">
        <v>8</v>
      </c>
      <c r="U11" s="140">
        <v>0.8</v>
      </c>
      <c r="V11" s="141">
        <f t="shared" si="6"/>
        <v>0.8</v>
      </c>
      <c r="W11" s="140">
        <v>10</v>
      </c>
      <c r="X11" s="140">
        <v>1</v>
      </c>
      <c r="Y11" s="141">
        <f t="shared" si="7"/>
        <v>1</v>
      </c>
      <c r="Z11" s="140">
        <v>78.5</v>
      </c>
      <c r="AA11" s="140">
        <v>7.85</v>
      </c>
      <c r="AB11" s="141">
        <f t="shared" si="8"/>
        <v>0.7440758293838863</v>
      </c>
      <c r="AC11" s="142">
        <f t="shared" si="9"/>
        <v>375</v>
      </c>
      <c r="AD11" s="143">
        <f t="shared" si="10"/>
        <v>40.675000000000004</v>
      </c>
      <c r="AE11" s="144"/>
      <c r="AF11" s="138"/>
      <c r="AG11" s="138"/>
      <c r="AH11" s="138"/>
      <c r="AI11" s="138"/>
    </row>
    <row r="12" spans="1:35" ht="15.75">
      <c r="A12" s="139">
        <v>15</v>
      </c>
      <c r="B12" s="140">
        <v>15</v>
      </c>
      <c r="C12" s="140">
        <v>0.75</v>
      </c>
      <c r="D12" s="141">
        <f t="shared" si="0"/>
        <v>0.1692524682651622</v>
      </c>
      <c r="E12" s="140">
        <v>55</v>
      </c>
      <c r="F12" s="140">
        <v>1.375</v>
      </c>
      <c r="G12" s="141">
        <f t="shared" si="1"/>
        <v>0.582010582010582</v>
      </c>
      <c r="H12" s="140">
        <v>26</v>
      </c>
      <c r="I12" s="140">
        <v>0.65</v>
      </c>
      <c r="J12" s="141">
        <f t="shared" si="2"/>
        <v>0.37142857142857144</v>
      </c>
      <c r="K12" s="140">
        <v>43.25</v>
      </c>
      <c r="L12" s="140">
        <v>12.975</v>
      </c>
      <c r="M12" s="141">
        <f t="shared" si="3"/>
        <v>0.473972602739726</v>
      </c>
      <c r="N12" s="140">
        <v>0</v>
      </c>
      <c r="O12" s="140">
        <v>0</v>
      </c>
      <c r="P12" s="141">
        <f t="shared" si="4"/>
        <v>0</v>
      </c>
      <c r="Q12" s="140">
        <v>79</v>
      </c>
      <c r="R12" s="140">
        <v>23.7</v>
      </c>
      <c r="S12" s="141">
        <f t="shared" si="5"/>
        <v>0.5231788079470199</v>
      </c>
      <c r="T12" s="140">
        <v>8</v>
      </c>
      <c r="U12" s="140">
        <v>0.8</v>
      </c>
      <c r="V12" s="141">
        <f t="shared" si="6"/>
        <v>0.8</v>
      </c>
      <c r="W12" s="140">
        <v>5</v>
      </c>
      <c r="X12" s="140">
        <v>0.5</v>
      </c>
      <c r="Y12" s="141">
        <f t="shared" si="7"/>
        <v>0.5</v>
      </c>
      <c r="Z12" s="140">
        <v>57.5</v>
      </c>
      <c r="AA12" s="140">
        <v>5.75</v>
      </c>
      <c r="AB12" s="141">
        <f t="shared" si="8"/>
        <v>0.5450236966824644</v>
      </c>
      <c r="AC12" s="142">
        <f t="shared" si="9"/>
        <v>288.75</v>
      </c>
      <c r="AD12" s="143">
        <f t="shared" si="10"/>
        <v>46.5</v>
      </c>
      <c r="AE12" s="144"/>
      <c r="AF12" s="138"/>
      <c r="AG12" s="138"/>
      <c r="AH12" s="138"/>
      <c r="AI12" s="138"/>
    </row>
    <row r="13" spans="1:35" ht="15.75">
      <c r="A13" s="139">
        <v>16</v>
      </c>
      <c r="B13" s="140">
        <v>54</v>
      </c>
      <c r="C13" s="140">
        <v>2.7</v>
      </c>
      <c r="D13" s="141">
        <f t="shared" si="0"/>
        <v>0.609308885754584</v>
      </c>
      <c r="E13" s="140">
        <v>49.5</v>
      </c>
      <c r="F13" s="140">
        <v>1.2375</v>
      </c>
      <c r="G13" s="141">
        <f t="shared" si="1"/>
        <v>0.5238095238095238</v>
      </c>
      <c r="H13" s="140">
        <v>40</v>
      </c>
      <c r="I13" s="140">
        <v>1</v>
      </c>
      <c r="J13" s="141">
        <f t="shared" si="2"/>
        <v>0.5714285714285714</v>
      </c>
      <c r="K13" s="140">
        <v>25</v>
      </c>
      <c r="L13" s="140">
        <v>7.5</v>
      </c>
      <c r="M13" s="141">
        <f t="shared" si="3"/>
        <v>0.273972602739726</v>
      </c>
      <c r="N13" s="140">
        <v>10</v>
      </c>
      <c r="O13" s="140">
        <v>1</v>
      </c>
      <c r="P13" s="141">
        <f t="shared" si="4"/>
        <v>0.06535947712418301</v>
      </c>
      <c r="Q13" s="140">
        <v>79</v>
      </c>
      <c r="R13" s="140">
        <v>23.7</v>
      </c>
      <c r="S13" s="141">
        <f t="shared" si="5"/>
        <v>0.5231788079470199</v>
      </c>
      <c r="T13" s="145">
        <v>8</v>
      </c>
      <c r="U13" s="140">
        <v>0.8</v>
      </c>
      <c r="V13" s="141">
        <f t="shared" si="6"/>
        <v>0.8</v>
      </c>
      <c r="W13" s="140">
        <v>10</v>
      </c>
      <c r="X13" s="140">
        <v>1</v>
      </c>
      <c r="Y13" s="141">
        <f t="shared" si="7"/>
        <v>1</v>
      </c>
      <c r="Z13" s="140">
        <v>74.5</v>
      </c>
      <c r="AA13" s="140">
        <v>7.45</v>
      </c>
      <c r="AB13" s="141">
        <f t="shared" si="8"/>
        <v>0.7061611374407583</v>
      </c>
      <c r="AC13" s="142">
        <f t="shared" si="9"/>
        <v>350</v>
      </c>
      <c r="AD13" s="143">
        <f t="shared" si="10"/>
        <v>46.3875</v>
      </c>
      <c r="AE13" s="144"/>
      <c r="AF13" s="138"/>
      <c r="AG13" s="138"/>
      <c r="AH13" s="138"/>
      <c r="AI13" s="138"/>
    </row>
    <row r="14" spans="1:35" ht="15.75">
      <c r="A14" s="139">
        <v>17</v>
      </c>
      <c r="B14" s="147">
        <v>25.625</v>
      </c>
      <c r="C14" s="147">
        <v>1.28125</v>
      </c>
      <c r="D14" s="141">
        <f t="shared" si="0"/>
        <v>0.28913963328631875</v>
      </c>
      <c r="E14" s="147">
        <v>53</v>
      </c>
      <c r="F14" s="147">
        <v>1.325</v>
      </c>
      <c r="G14" s="141">
        <f t="shared" si="1"/>
        <v>0.5608465608465608</v>
      </c>
      <c r="H14" s="147">
        <v>6</v>
      </c>
      <c r="I14" s="147">
        <v>0.15</v>
      </c>
      <c r="J14" s="141">
        <f t="shared" si="2"/>
        <v>0.08571428571428572</v>
      </c>
      <c r="K14" s="147">
        <v>21.5</v>
      </c>
      <c r="L14" s="147">
        <v>6.45</v>
      </c>
      <c r="M14" s="141">
        <f t="shared" si="3"/>
        <v>0.2356164383561644</v>
      </c>
      <c r="N14" s="147">
        <v>10</v>
      </c>
      <c r="O14" s="147">
        <v>1</v>
      </c>
      <c r="P14" s="141">
        <f t="shared" si="4"/>
        <v>0.06535947712418301</v>
      </c>
      <c r="Q14" s="147">
        <v>97</v>
      </c>
      <c r="R14" s="147">
        <v>29.1</v>
      </c>
      <c r="S14" s="141">
        <f t="shared" si="5"/>
        <v>0.6423841059602649</v>
      </c>
      <c r="T14" s="147">
        <v>8</v>
      </c>
      <c r="U14" s="147">
        <v>0.8</v>
      </c>
      <c r="V14" s="141">
        <f t="shared" si="6"/>
        <v>0.8</v>
      </c>
      <c r="W14" s="147">
        <v>10</v>
      </c>
      <c r="X14" s="147">
        <v>1</v>
      </c>
      <c r="Y14" s="141">
        <f t="shared" si="7"/>
        <v>1</v>
      </c>
      <c r="Z14" s="147">
        <v>95.5</v>
      </c>
      <c r="AA14" s="147">
        <v>9.55</v>
      </c>
      <c r="AB14" s="141">
        <f t="shared" si="8"/>
        <v>0.9052132701421801</v>
      </c>
      <c r="AC14" s="142">
        <f t="shared" si="9"/>
        <v>326.625</v>
      </c>
      <c r="AD14" s="143">
        <f t="shared" si="10"/>
        <v>50.65625</v>
      </c>
      <c r="AE14" s="144"/>
      <c r="AF14" s="148"/>
      <c r="AG14" s="148"/>
      <c r="AH14" s="148"/>
      <c r="AI14" s="148"/>
    </row>
    <row r="15" spans="1:35" ht="15.75">
      <c r="A15" s="139">
        <v>21</v>
      </c>
      <c r="B15" s="140">
        <v>49.125</v>
      </c>
      <c r="C15" s="140">
        <v>2.45625</v>
      </c>
      <c r="D15" s="141">
        <f t="shared" si="0"/>
        <v>0.5543018335684062</v>
      </c>
      <c r="E15" s="140">
        <v>55.5</v>
      </c>
      <c r="F15" s="140">
        <v>1.3875</v>
      </c>
      <c r="G15" s="141">
        <f t="shared" si="1"/>
        <v>0.5873015873015873</v>
      </c>
      <c r="H15" s="140">
        <v>6</v>
      </c>
      <c r="I15" s="140">
        <v>0.15</v>
      </c>
      <c r="J15" s="141">
        <f t="shared" si="2"/>
        <v>0.08571428571428572</v>
      </c>
      <c r="K15" s="140">
        <v>3</v>
      </c>
      <c r="L15" s="140">
        <v>0.9</v>
      </c>
      <c r="M15" s="141">
        <f t="shared" si="3"/>
        <v>0.03287671232876712</v>
      </c>
      <c r="N15" s="140">
        <v>0</v>
      </c>
      <c r="O15" s="140">
        <v>0</v>
      </c>
      <c r="P15" s="141">
        <f t="shared" si="4"/>
        <v>0</v>
      </c>
      <c r="Q15" s="140">
        <v>25</v>
      </c>
      <c r="R15" s="140">
        <v>7.5</v>
      </c>
      <c r="S15" s="141">
        <f t="shared" si="5"/>
        <v>0.16556291390728478</v>
      </c>
      <c r="T15" s="140">
        <v>8</v>
      </c>
      <c r="U15" s="140">
        <v>0.8</v>
      </c>
      <c r="V15" s="141">
        <f t="shared" si="6"/>
        <v>0.8</v>
      </c>
      <c r="W15" s="140">
        <v>10</v>
      </c>
      <c r="X15" s="140">
        <v>1</v>
      </c>
      <c r="Y15" s="141">
        <f t="shared" si="7"/>
        <v>1</v>
      </c>
      <c r="Z15" s="140">
        <v>34.5</v>
      </c>
      <c r="AA15" s="140">
        <v>3.45</v>
      </c>
      <c r="AB15" s="141">
        <f t="shared" si="8"/>
        <v>0.32701421800947866</v>
      </c>
      <c r="AC15" s="142">
        <f t="shared" si="9"/>
        <v>191.125</v>
      </c>
      <c r="AD15" s="143">
        <f t="shared" si="10"/>
        <v>17.64375</v>
      </c>
      <c r="AE15" s="144"/>
      <c r="AF15" s="138"/>
      <c r="AG15" s="138"/>
      <c r="AH15" s="138"/>
      <c r="AI15" s="138"/>
    </row>
    <row r="16" spans="1:35" ht="15.75">
      <c r="A16" s="139">
        <v>22</v>
      </c>
      <c r="B16" s="140">
        <v>47.625</v>
      </c>
      <c r="C16" s="140">
        <v>2.38125</v>
      </c>
      <c r="D16" s="141">
        <f t="shared" si="0"/>
        <v>0.53737658674189</v>
      </c>
      <c r="E16" s="140">
        <v>42.5</v>
      </c>
      <c r="F16" s="140">
        <v>1.0625</v>
      </c>
      <c r="G16" s="141">
        <f t="shared" si="1"/>
        <v>0.4497354497354497</v>
      </c>
      <c r="H16" s="140">
        <v>10</v>
      </c>
      <c r="I16" s="140">
        <v>0.25</v>
      </c>
      <c r="J16" s="141">
        <f t="shared" si="2"/>
        <v>0.14285714285714285</v>
      </c>
      <c r="K16" s="140">
        <v>23.25</v>
      </c>
      <c r="L16" s="140">
        <v>6.975</v>
      </c>
      <c r="M16" s="141">
        <f t="shared" si="3"/>
        <v>0.2547945205479452</v>
      </c>
      <c r="N16" s="140">
        <v>30</v>
      </c>
      <c r="O16" s="140">
        <v>3</v>
      </c>
      <c r="P16" s="141">
        <f t="shared" si="4"/>
        <v>0.19607843137254902</v>
      </c>
      <c r="Q16" s="140">
        <v>7</v>
      </c>
      <c r="R16" s="140">
        <v>2.1</v>
      </c>
      <c r="S16" s="141">
        <f t="shared" si="5"/>
        <v>0.046357615894039736</v>
      </c>
      <c r="T16" s="140">
        <v>8</v>
      </c>
      <c r="U16" s="140">
        <v>0.8</v>
      </c>
      <c r="V16" s="141">
        <f t="shared" si="6"/>
        <v>0.8</v>
      </c>
      <c r="W16" s="140">
        <v>10</v>
      </c>
      <c r="X16" s="140">
        <v>1</v>
      </c>
      <c r="Y16" s="141">
        <f t="shared" si="7"/>
        <v>1</v>
      </c>
      <c r="Z16" s="140">
        <v>74.5</v>
      </c>
      <c r="AA16" s="140">
        <v>7.45</v>
      </c>
      <c r="AB16" s="141">
        <f t="shared" si="8"/>
        <v>0.7061611374407583</v>
      </c>
      <c r="AC16" s="142">
        <f t="shared" si="9"/>
        <v>252.875</v>
      </c>
      <c r="AD16" s="143">
        <f t="shared" si="10"/>
        <v>25.018749999999997</v>
      </c>
      <c r="AE16" s="144"/>
      <c r="AF16" s="138"/>
      <c r="AG16" s="138"/>
      <c r="AH16" s="138"/>
      <c r="AI16" s="138"/>
    </row>
    <row r="17" spans="1:35" ht="15.75">
      <c r="A17" s="139" t="s">
        <v>787</v>
      </c>
      <c r="B17" s="140">
        <v>55.5</v>
      </c>
      <c r="C17" s="140">
        <v>2.775</v>
      </c>
      <c r="D17" s="141">
        <f t="shared" si="0"/>
        <v>0.6262341325811002</v>
      </c>
      <c r="E17" s="140">
        <v>62.5</v>
      </c>
      <c r="F17" s="140">
        <v>1.5625</v>
      </c>
      <c r="G17" s="141">
        <f t="shared" si="1"/>
        <v>0.6613756613756614</v>
      </c>
      <c r="H17" s="140">
        <v>6</v>
      </c>
      <c r="I17" s="140">
        <v>0.15</v>
      </c>
      <c r="J17" s="141">
        <f t="shared" si="2"/>
        <v>0.08571428571428572</v>
      </c>
      <c r="K17" s="140">
        <v>90.5</v>
      </c>
      <c r="L17" s="140">
        <v>27.15</v>
      </c>
      <c r="M17" s="141">
        <f t="shared" si="3"/>
        <v>0.9917808219178083</v>
      </c>
      <c r="N17" s="140">
        <v>26</v>
      </c>
      <c r="O17" s="140">
        <v>2.6</v>
      </c>
      <c r="P17" s="141">
        <f t="shared" si="4"/>
        <v>0.16993464052287582</v>
      </c>
      <c r="Q17" s="140">
        <v>79</v>
      </c>
      <c r="R17" s="140">
        <v>23.7</v>
      </c>
      <c r="S17" s="141">
        <f t="shared" si="5"/>
        <v>0.5231788079470199</v>
      </c>
      <c r="T17" s="140">
        <v>8</v>
      </c>
      <c r="U17" s="140">
        <v>0.8</v>
      </c>
      <c r="V17" s="141">
        <f t="shared" si="6"/>
        <v>0.8</v>
      </c>
      <c r="W17" s="140">
        <v>10</v>
      </c>
      <c r="X17" s="140">
        <v>1</v>
      </c>
      <c r="Y17" s="141">
        <f t="shared" si="7"/>
        <v>1</v>
      </c>
      <c r="Z17" s="140">
        <v>81.5</v>
      </c>
      <c r="AA17" s="140">
        <v>8.15</v>
      </c>
      <c r="AB17" s="141">
        <f t="shared" si="8"/>
        <v>0.7725118483412322</v>
      </c>
      <c r="AC17" s="142">
        <f t="shared" si="9"/>
        <v>419</v>
      </c>
      <c r="AD17" s="143">
        <f t="shared" si="10"/>
        <v>67.8875</v>
      </c>
      <c r="AE17" s="144"/>
      <c r="AF17" s="138"/>
      <c r="AG17" s="138"/>
      <c r="AH17" s="138"/>
      <c r="AI17" s="138"/>
    </row>
    <row r="18" spans="1:35" ht="15.75">
      <c r="A18" s="139" t="s">
        <v>788</v>
      </c>
      <c r="B18" s="140">
        <v>49.5</v>
      </c>
      <c r="C18" s="140">
        <v>2.475</v>
      </c>
      <c r="D18" s="141">
        <f t="shared" si="0"/>
        <v>0.5585331452750353</v>
      </c>
      <c r="E18" s="140">
        <v>62.5</v>
      </c>
      <c r="F18" s="140">
        <v>1.5625</v>
      </c>
      <c r="G18" s="141">
        <f t="shared" si="1"/>
        <v>0.6613756613756614</v>
      </c>
      <c r="H18" s="140">
        <v>6</v>
      </c>
      <c r="I18" s="140">
        <v>0.15</v>
      </c>
      <c r="J18" s="141">
        <f t="shared" si="2"/>
        <v>0.08571428571428572</v>
      </c>
      <c r="K18" s="140">
        <v>90.5</v>
      </c>
      <c r="L18" s="140">
        <v>27.15</v>
      </c>
      <c r="M18" s="141">
        <f t="shared" si="3"/>
        <v>0.9917808219178083</v>
      </c>
      <c r="N18" s="140">
        <v>26</v>
      </c>
      <c r="O18" s="140">
        <v>2.6</v>
      </c>
      <c r="P18" s="141">
        <f t="shared" si="4"/>
        <v>0.16993464052287582</v>
      </c>
      <c r="Q18" s="140">
        <v>79</v>
      </c>
      <c r="R18" s="140">
        <v>23.7</v>
      </c>
      <c r="S18" s="141">
        <f t="shared" si="5"/>
        <v>0.5231788079470199</v>
      </c>
      <c r="T18" s="145">
        <v>8</v>
      </c>
      <c r="U18" s="140">
        <v>0.8</v>
      </c>
      <c r="V18" s="141">
        <f t="shared" si="6"/>
        <v>0.8</v>
      </c>
      <c r="W18" s="140">
        <v>10</v>
      </c>
      <c r="X18" s="140">
        <v>1</v>
      </c>
      <c r="Y18" s="141">
        <f t="shared" si="7"/>
        <v>1</v>
      </c>
      <c r="Z18" s="140">
        <v>81.5</v>
      </c>
      <c r="AA18" s="140">
        <v>8.15</v>
      </c>
      <c r="AB18" s="141">
        <f t="shared" si="8"/>
        <v>0.7725118483412322</v>
      </c>
      <c r="AC18" s="142">
        <f t="shared" si="9"/>
        <v>413</v>
      </c>
      <c r="AD18" s="143">
        <f t="shared" si="10"/>
        <v>67.5875</v>
      </c>
      <c r="AE18" s="144"/>
      <c r="AF18" s="138"/>
      <c r="AG18" s="138"/>
      <c r="AH18" s="138"/>
      <c r="AI18" s="138"/>
    </row>
    <row r="19" spans="1:35" ht="15.75">
      <c r="A19" s="139">
        <v>28</v>
      </c>
      <c r="B19" s="147">
        <v>24</v>
      </c>
      <c r="C19" s="147">
        <v>1.2</v>
      </c>
      <c r="D19" s="141">
        <f t="shared" si="0"/>
        <v>0.27080394922425954</v>
      </c>
      <c r="E19" s="147">
        <v>60</v>
      </c>
      <c r="F19" s="147">
        <v>1.5</v>
      </c>
      <c r="G19" s="141">
        <f t="shared" si="1"/>
        <v>0.6349206349206349</v>
      </c>
      <c r="H19" s="147">
        <v>6</v>
      </c>
      <c r="I19" s="147">
        <v>0.15</v>
      </c>
      <c r="J19" s="141">
        <f t="shared" si="2"/>
        <v>0.08571428571428572</v>
      </c>
      <c r="K19" s="147">
        <v>6</v>
      </c>
      <c r="L19" s="147">
        <v>1.8</v>
      </c>
      <c r="M19" s="141">
        <f t="shared" si="3"/>
        <v>0.06575342465753424</v>
      </c>
      <c r="N19" s="147">
        <v>51</v>
      </c>
      <c r="O19" s="147">
        <v>5.1</v>
      </c>
      <c r="P19" s="141">
        <f t="shared" si="4"/>
        <v>0.3333333333333333</v>
      </c>
      <c r="Q19" s="147">
        <v>7</v>
      </c>
      <c r="R19" s="147">
        <v>2.1</v>
      </c>
      <c r="S19" s="141">
        <f t="shared" si="5"/>
        <v>0.046357615894039736</v>
      </c>
      <c r="T19" s="147">
        <v>8</v>
      </c>
      <c r="U19" s="147">
        <v>0.8</v>
      </c>
      <c r="V19" s="141">
        <f t="shared" si="6"/>
        <v>0.8</v>
      </c>
      <c r="W19" s="147">
        <v>5</v>
      </c>
      <c r="X19" s="147">
        <v>0.5</v>
      </c>
      <c r="Y19" s="141">
        <f t="shared" si="7"/>
        <v>0.5</v>
      </c>
      <c r="Z19" s="147">
        <v>40.5</v>
      </c>
      <c r="AA19" s="147">
        <v>4.05</v>
      </c>
      <c r="AB19" s="141">
        <f t="shared" si="8"/>
        <v>0.38388625592417064</v>
      </c>
      <c r="AC19" s="142">
        <f t="shared" si="9"/>
        <v>207.5</v>
      </c>
      <c r="AD19" s="143">
        <f t="shared" si="10"/>
        <v>17.2</v>
      </c>
      <c r="AE19" s="144"/>
      <c r="AF19" s="148"/>
      <c r="AG19" s="148"/>
      <c r="AH19" s="148"/>
      <c r="AI19" s="148"/>
    </row>
    <row r="20" spans="1:35" ht="15.75">
      <c r="A20" s="139">
        <v>29</v>
      </c>
      <c r="B20" s="140">
        <v>65.8</v>
      </c>
      <c r="C20" s="140">
        <v>3.29</v>
      </c>
      <c r="D20" s="141">
        <f t="shared" si="0"/>
        <v>0.7424541607898448</v>
      </c>
      <c r="E20" s="140">
        <v>70</v>
      </c>
      <c r="F20" s="140">
        <v>1.75</v>
      </c>
      <c r="G20" s="141">
        <f t="shared" si="1"/>
        <v>0.7407407407407407</v>
      </c>
      <c r="H20" s="140">
        <v>42</v>
      </c>
      <c r="I20" s="140">
        <v>1.05</v>
      </c>
      <c r="J20" s="141">
        <f t="shared" si="2"/>
        <v>0.6</v>
      </c>
      <c r="K20" s="140">
        <v>71.5</v>
      </c>
      <c r="L20" s="140">
        <v>21.45</v>
      </c>
      <c r="M20" s="141">
        <f t="shared" si="3"/>
        <v>0.7835616438356164</v>
      </c>
      <c r="N20" s="140">
        <v>100</v>
      </c>
      <c r="O20" s="140">
        <v>10</v>
      </c>
      <c r="P20" s="141">
        <f t="shared" si="4"/>
        <v>0.6535947712418301</v>
      </c>
      <c r="Q20" s="140">
        <v>79</v>
      </c>
      <c r="R20" s="140">
        <v>23.7</v>
      </c>
      <c r="S20" s="141">
        <f t="shared" si="5"/>
        <v>0.5231788079470199</v>
      </c>
      <c r="T20" s="140">
        <v>8</v>
      </c>
      <c r="U20" s="140">
        <v>0.8</v>
      </c>
      <c r="V20" s="141">
        <f t="shared" si="6"/>
        <v>0.8</v>
      </c>
      <c r="W20" s="140">
        <v>10</v>
      </c>
      <c r="X20" s="140">
        <v>1</v>
      </c>
      <c r="Y20" s="141">
        <f t="shared" si="7"/>
        <v>1</v>
      </c>
      <c r="Z20" s="140">
        <v>29.5</v>
      </c>
      <c r="AA20" s="140">
        <v>2.95</v>
      </c>
      <c r="AB20" s="141">
        <f t="shared" si="8"/>
        <v>0.2796208530805687</v>
      </c>
      <c r="AC20" s="142">
        <f t="shared" si="9"/>
        <v>475.8</v>
      </c>
      <c r="AD20" s="143">
        <f t="shared" si="10"/>
        <v>65.99</v>
      </c>
      <c r="AE20" s="144"/>
      <c r="AF20" s="138"/>
      <c r="AG20" s="138"/>
      <c r="AH20" s="138"/>
      <c r="AI20" s="138"/>
    </row>
    <row r="21" spans="1:35" ht="15.75">
      <c r="A21" s="139">
        <v>31</v>
      </c>
      <c r="B21" s="140">
        <v>55</v>
      </c>
      <c r="C21" s="140">
        <v>2.75</v>
      </c>
      <c r="D21" s="141">
        <f t="shared" si="0"/>
        <v>0.6205923836389281</v>
      </c>
      <c r="E21" s="140">
        <v>60</v>
      </c>
      <c r="F21" s="140">
        <v>1.5</v>
      </c>
      <c r="G21" s="141">
        <f t="shared" si="1"/>
        <v>0.6349206349206349</v>
      </c>
      <c r="H21" s="140">
        <v>16</v>
      </c>
      <c r="I21" s="140">
        <v>0.4</v>
      </c>
      <c r="J21" s="141">
        <f t="shared" si="2"/>
        <v>0.22857142857142856</v>
      </c>
      <c r="K21" s="140">
        <v>6.5</v>
      </c>
      <c r="L21" s="140">
        <v>1.95</v>
      </c>
      <c r="M21" s="141">
        <f t="shared" si="3"/>
        <v>0.07123287671232877</v>
      </c>
      <c r="N21" s="140">
        <v>0</v>
      </c>
      <c r="O21" s="140">
        <v>0</v>
      </c>
      <c r="P21" s="141">
        <f t="shared" si="4"/>
        <v>0</v>
      </c>
      <c r="Q21" s="140">
        <v>97</v>
      </c>
      <c r="R21" s="140">
        <v>29.1</v>
      </c>
      <c r="S21" s="141">
        <f t="shared" si="5"/>
        <v>0.6423841059602649</v>
      </c>
      <c r="T21" s="140">
        <v>8</v>
      </c>
      <c r="U21" s="140">
        <v>0.8</v>
      </c>
      <c r="V21" s="141">
        <f t="shared" si="6"/>
        <v>0.8</v>
      </c>
      <c r="W21" s="140">
        <v>5</v>
      </c>
      <c r="X21" s="140">
        <v>0.5</v>
      </c>
      <c r="Y21" s="141">
        <f t="shared" si="7"/>
        <v>0.5</v>
      </c>
      <c r="Z21" s="140">
        <v>81.5</v>
      </c>
      <c r="AA21" s="140">
        <v>8.15</v>
      </c>
      <c r="AB21" s="141">
        <f t="shared" si="8"/>
        <v>0.7725118483412322</v>
      </c>
      <c r="AC21" s="142">
        <f t="shared" si="9"/>
        <v>329</v>
      </c>
      <c r="AD21" s="143">
        <f t="shared" si="10"/>
        <v>45.15</v>
      </c>
      <c r="AE21" s="144"/>
      <c r="AF21" s="138"/>
      <c r="AG21" s="138"/>
      <c r="AH21" s="138"/>
      <c r="AI21" s="138"/>
    </row>
    <row r="22" spans="1:35" ht="15.75">
      <c r="A22" s="139" t="s">
        <v>789</v>
      </c>
      <c r="B22" s="140">
        <v>45</v>
      </c>
      <c r="C22" s="140">
        <v>2.25</v>
      </c>
      <c r="D22" s="141">
        <f t="shared" si="0"/>
        <v>0.5077574047954866</v>
      </c>
      <c r="E22" s="140">
        <v>89</v>
      </c>
      <c r="F22" s="140">
        <v>2.225</v>
      </c>
      <c r="G22" s="141">
        <f t="shared" si="1"/>
        <v>0.9417989417989417</v>
      </c>
      <c r="H22" s="140">
        <v>20</v>
      </c>
      <c r="I22" s="140">
        <v>0.5</v>
      </c>
      <c r="J22" s="141">
        <f t="shared" si="2"/>
        <v>0.2857142857142857</v>
      </c>
      <c r="K22" s="140">
        <v>69</v>
      </c>
      <c r="L22" s="140">
        <v>20.7</v>
      </c>
      <c r="M22" s="141">
        <f t="shared" si="3"/>
        <v>0.7561643835616438</v>
      </c>
      <c r="N22" s="140">
        <v>15</v>
      </c>
      <c r="O22" s="140">
        <v>1.5</v>
      </c>
      <c r="P22" s="141">
        <f t="shared" si="4"/>
        <v>0.09803921568627451</v>
      </c>
      <c r="Q22" s="449">
        <v>115</v>
      </c>
      <c r="R22" s="140">
        <v>30</v>
      </c>
      <c r="S22" s="141">
        <f t="shared" si="5"/>
        <v>0.7615894039735099</v>
      </c>
      <c r="T22" s="140">
        <v>8</v>
      </c>
      <c r="U22" s="140">
        <v>0.8</v>
      </c>
      <c r="V22" s="141">
        <f t="shared" si="6"/>
        <v>0.8</v>
      </c>
      <c r="W22" s="140">
        <v>5</v>
      </c>
      <c r="X22" s="140">
        <v>0.5</v>
      </c>
      <c r="Y22" s="141">
        <f t="shared" si="7"/>
        <v>0.5</v>
      </c>
      <c r="Z22" s="140">
        <v>81.5</v>
      </c>
      <c r="AA22" s="140">
        <v>8.15</v>
      </c>
      <c r="AB22" s="141">
        <f t="shared" si="8"/>
        <v>0.7725118483412322</v>
      </c>
      <c r="AC22" s="142">
        <f t="shared" si="9"/>
        <v>447.5</v>
      </c>
      <c r="AD22" s="143">
        <f t="shared" si="10"/>
        <v>66.625</v>
      </c>
      <c r="AE22" s="144"/>
      <c r="AF22" s="138"/>
      <c r="AG22" s="138"/>
      <c r="AH22" s="138"/>
      <c r="AI22" s="138"/>
    </row>
    <row r="23" spans="1:35" ht="15.75">
      <c r="A23" s="150" t="s">
        <v>790</v>
      </c>
      <c r="B23" s="145">
        <v>54</v>
      </c>
      <c r="C23" s="145">
        <v>2.7</v>
      </c>
      <c r="D23" s="141">
        <f t="shared" si="0"/>
        <v>0.609308885754584</v>
      </c>
      <c r="E23" s="145">
        <v>79.5</v>
      </c>
      <c r="F23" s="145">
        <v>1.9875</v>
      </c>
      <c r="G23" s="141">
        <f t="shared" si="1"/>
        <v>0.8412698412698413</v>
      </c>
      <c r="H23" s="145">
        <v>65</v>
      </c>
      <c r="I23" s="145">
        <v>1.625</v>
      </c>
      <c r="J23" s="141">
        <f t="shared" si="2"/>
        <v>0.9285714285714286</v>
      </c>
      <c r="K23" s="145">
        <v>69</v>
      </c>
      <c r="L23" s="145">
        <v>20.7</v>
      </c>
      <c r="M23" s="141">
        <f t="shared" si="3"/>
        <v>0.7561643835616438</v>
      </c>
      <c r="N23" s="145">
        <v>15</v>
      </c>
      <c r="O23" s="145">
        <v>1.5</v>
      </c>
      <c r="P23" s="141">
        <f t="shared" si="4"/>
        <v>0.09803921568627451</v>
      </c>
      <c r="Q23" s="446">
        <v>115</v>
      </c>
      <c r="R23" s="145">
        <v>30</v>
      </c>
      <c r="S23" s="141">
        <f t="shared" si="5"/>
        <v>0.7615894039735099</v>
      </c>
      <c r="T23" s="145">
        <v>8</v>
      </c>
      <c r="U23" s="145">
        <v>0.8</v>
      </c>
      <c r="V23" s="141">
        <f t="shared" si="6"/>
        <v>0.8</v>
      </c>
      <c r="W23" s="145">
        <v>5</v>
      </c>
      <c r="X23" s="145">
        <v>0.5</v>
      </c>
      <c r="Y23" s="141">
        <f t="shared" si="7"/>
        <v>0.5</v>
      </c>
      <c r="Z23" s="145">
        <v>81.5</v>
      </c>
      <c r="AA23" s="145">
        <v>8.15</v>
      </c>
      <c r="AB23" s="141">
        <f t="shared" si="8"/>
        <v>0.7725118483412322</v>
      </c>
      <c r="AC23" s="142">
        <f t="shared" si="9"/>
        <v>492</v>
      </c>
      <c r="AD23" s="143">
        <f t="shared" si="10"/>
        <v>67.9625</v>
      </c>
      <c r="AE23" s="144"/>
      <c r="AF23" s="146"/>
      <c r="AG23" s="146"/>
      <c r="AH23" s="146"/>
      <c r="AI23" s="146"/>
    </row>
    <row r="24" spans="1:35" ht="15.75">
      <c r="A24" s="150" t="s">
        <v>791</v>
      </c>
      <c r="B24" s="140">
        <v>54</v>
      </c>
      <c r="C24" s="140">
        <v>2.7</v>
      </c>
      <c r="D24" s="141">
        <f t="shared" si="0"/>
        <v>0.609308885754584</v>
      </c>
      <c r="E24" s="140">
        <v>79.5</v>
      </c>
      <c r="F24" s="140">
        <v>1.9875</v>
      </c>
      <c r="G24" s="141">
        <f t="shared" si="1"/>
        <v>0.8412698412698413</v>
      </c>
      <c r="H24" s="140">
        <v>25</v>
      </c>
      <c r="I24" s="140">
        <v>0.625</v>
      </c>
      <c r="J24" s="141">
        <f t="shared" si="2"/>
        <v>0.35714285714285715</v>
      </c>
      <c r="K24" s="140">
        <v>26.5</v>
      </c>
      <c r="L24" s="140">
        <v>7.95</v>
      </c>
      <c r="M24" s="141">
        <f t="shared" si="3"/>
        <v>0.29041095890410956</v>
      </c>
      <c r="N24" s="140">
        <v>20</v>
      </c>
      <c r="O24" s="140">
        <v>2</v>
      </c>
      <c r="P24" s="141">
        <f t="shared" si="4"/>
        <v>0.13071895424836602</v>
      </c>
      <c r="Q24" s="140">
        <v>79</v>
      </c>
      <c r="R24" s="140">
        <v>23.7</v>
      </c>
      <c r="S24" s="141">
        <f t="shared" si="5"/>
        <v>0.5231788079470199</v>
      </c>
      <c r="T24" s="140">
        <v>8</v>
      </c>
      <c r="U24" s="140">
        <v>0.8</v>
      </c>
      <c r="V24" s="141">
        <f t="shared" si="6"/>
        <v>0.8</v>
      </c>
      <c r="W24" s="140">
        <v>5</v>
      </c>
      <c r="X24" s="140">
        <v>0.5</v>
      </c>
      <c r="Y24" s="141">
        <f t="shared" si="7"/>
        <v>0.5</v>
      </c>
      <c r="Z24" s="140">
        <v>75.5</v>
      </c>
      <c r="AA24" s="140">
        <v>7.55</v>
      </c>
      <c r="AB24" s="141">
        <f t="shared" si="8"/>
        <v>0.7156398104265402</v>
      </c>
      <c r="AC24" s="142">
        <f t="shared" si="9"/>
        <v>372.5</v>
      </c>
      <c r="AD24" s="143">
        <f t="shared" si="10"/>
        <v>47.81249999999999</v>
      </c>
      <c r="AE24" s="144"/>
      <c r="AF24" s="138"/>
      <c r="AG24" s="138"/>
      <c r="AH24" s="138"/>
      <c r="AI24" s="138"/>
    </row>
    <row r="25" spans="1:35" ht="15.75">
      <c r="A25" s="150" t="s">
        <v>792</v>
      </c>
      <c r="B25" s="140">
        <v>0</v>
      </c>
      <c r="C25" s="140">
        <v>0</v>
      </c>
      <c r="D25" s="141">
        <f t="shared" si="0"/>
        <v>0</v>
      </c>
      <c r="E25" s="140">
        <v>0</v>
      </c>
      <c r="F25" s="140">
        <v>0</v>
      </c>
      <c r="G25" s="141">
        <f t="shared" si="1"/>
        <v>0</v>
      </c>
      <c r="H25" s="140">
        <v>0</v>
      </c>
      <c r="I25" s="140">
        <v>0</v>
      </c>
      <c r="J25" s="141">
        <f t="shared" si="2"/>
        <v>0</v>
      </c>
      <c r="K25" s="140">
        <v>0</v>
      </c>
      <c r="L25" s="449">
        <v>7.95</v>
      </c>
      <c r="M25" s="141">
        <f t="shared" si="3"/>
        <v>0</v>
      </c>
      <c r="N25" s="140">
        <v>0</v>
      </c>
      <c r="O25" s="449">
        <v>2</v>
      </c>
      <c r="P25" s="141">
        <f t="shared" si="4"/>
        <v>0</v>
      </c>
      <c r="Q25" s="140">
        <v>0</v>
      </c>
      <c r="R25" s="140">
        <v>0</v>
      </c>
      <c r="S25" s="141">
        <f t="shared" si="5"/>
        <v>0</v>
      </c>
      <c r="T25" s="151">
        <v>0</v>
      </c>
      <c r="U25" s="140">
        <v>0</v>
      </c>
      <c r="V25" s="141">
        <f t="shared" si="6"/>
        <v>0</v>
      </c>
      <c r="W25" s="140">
        <v>0</v>
      </c>
      <c r="X25" s="140">
        <v>0</v>
      </c>
      <c r="Y25" s="141">
        <f t="shared" si="7"/>
        <v>0</v>
      </c>
      <c r="Z25" s="140">
        <v>0</v>
      </c>
      <c r="AA25" s="140">
        <v>0</v>
      </c>
      <c r="AB25" s="141">
        <f t="shared" si="8"/>
        <v>0</v>
      </c>
      <c r="AC25" s="142">
        <f t="shared" si="9"/>
        <v>0</v>
      </c>
      <c r="AD25" s="143">
        <f t="shared" si="10"/>
        <v>9.95</v>
      </c>
      <c r="AE25" s="144"/>
      <c r="AF25" s="138"/>
      <c r="AG25" s="138"/>
      <c r="AH25" s="138"/>
      <c r="AI25" s="138"/>
    </row>
    <row r="26" spans="1:35" ht="15.75">
      <c r="A26" s="150">
        <v>36</v>
      </c>
      <c r="B26" s="151">
        <v>17.625</v>
      </c>
      <c r="C26" s="151">
        <v>0.88125</v>
      </c>
      <c r="D26" s="141">
        <f t="shared" si="0"/>
        <v>0.19887165021156558</v>
      </c>
      <c r="E26" s="151">
        <v>36.5</v>
      </c>
      <c r="F26" s="151">
        <v>0.9125</v>
      </c>
      <c r="G26" s="141">
        <f t="shared" si="1"/>
        <v>0.3862433862433862</v>
      </c>
      <c r="H26" s="151">
        <v>36</v>
      </c>
      <c r="I26" s="151">
        <v>0.9</v>
      </c>
      <c r="J26" s="141">
        <f t="shared" si="2"/>
        <v>0.5142857142857142</v>
      </c>
      <c r="K26" s="151">
        <v>25.5</v>
      </c>
      <c r="L26" s="151">
        <v>7.65</v>
      </c>
      <c r="M26" s="141">
        <f t="shared" si="3"/>
        <v>0.27945205479452057</v>
      </c>
      <c r="N26" s="151">
        <v>10</v>
      </c>
      <c r="O26" s="151">
        <v>1</v>
      </c>
      <c r="P26" s="141">
        <f t="shared" si="4"/>
        <v>0.06535947712418301</v>
      </c>
      <c r="Q26" s="151">
        <v>72</v>
      </c>
      <c r="R26" s="151">
        <v>21.6</v>
      </c>
      <c r="S26" s="141">
        <f t="shared" si="5"/>
        <v>0.4768211920529801</v>
      </c>
      <c r="T26" s="151">
        <v>8</v>
      </c>
      <c r="U26" s="151">
        <v>0.8</v>
      </c>
      <c r="V26" s="141">
        <f t="shared" si="6"/>
        <v>0.8</v>
      </c>
      <c r="W26" s="151">
        <v>5</v>
      </c>
      <c r="X26" s="151">
        <v>0.5</v>
      </c>
      <c r="Y26" s="141">
        <f t="shared" si="7"/>
        <v>0.5</v>
      </c>
      <c r="Z26" s="151">
        <v>72</v>
      </c>
      <c r="AA26" s="151">
        <v>7.2</v>
      </c>
      <c r="AB26" s="141">
        <f t="shared" si="8"/>
        <v>0.6824644549763034</v>
      </c>
      <c r="AC26" s="142">
        <f t="shared" si="9"/>
        <v>282.625</v>
      </c>
      <c r="AD26" s="143">
        <f t="shared" si="10"/>
        <v>41.44375</v>
      </c>
      <c r="AE26" s="144"/>
      <c r="AF26" s="152"/>
      <c r="AG26" s="152"/>
      <c r="AH26" s="152"/>
      <c r="AI26" s="152"/>
    </row>
    <row r="27" spans="1:35" ht="15.75">
      <c r="A27" s="139">
        <v>37</v>
      </c>
      <c r="B27" s="147">
        <v>31.5</v>
      </c>
      <c r="C27" s="147">
        <v>1.575</v>
      </c>
      <c r="D27" s="141">
        <f t="shared" si="0"/>
        <v>0.3554301833568406</v>
      </c>
      <c r="E27" s="147">
        <v>73.5</v>
      </c>
      <c r="F27" s="147">
        <v>1.8375</v>
      </c>
      <c r="G27" s="141">
        <f t="shared" si="1"/>
        <v>0.7777777777777778</v>
      </c>
      <c r="H27" s="147">
        <v>6</v>
      </c>
      <c r="I27" s="147">
        <v>0.15</v>
      </c>
      <c r="J27" s="141">
        <f t="shared" si="2"/>
        <v>0.08571428571428572</v>
      </c>
      <c r="K27" s="147">
        <v>44</v>
      </c>
      <c r="L27" s="147">
        <v>13.2</v>
      </c>
      <c r="M27" s="141">
        <f t="shared" si="3"/>
        <v>0.4821917808219178</v>
      </c>
      <c r="N27" s="147">
        <v>41</v>
      </c>
      <c r="O27" s="147">
        <v>4.1</v>
      </c>
      <c r="P27" s="141">
        <f t="shared" si="4"/>
        <v>0.2679738562091503</v>
      </c>
      <c r="Q27" s="147">
        <v>43</v>
      </c>
      <c r="R27" s="147">
        <v>12.9</v>
      </c>
      <c r="S27" s="141">
        <f t="shared" si="5"/>
        <v>0.2847682119205298</v>
      </c>
      <c r="T27" s="147">
        <v>8</v>
      </c>
      <c r="U27" s="147">
        <v>0.8</v>
      </c>
      <c r="V27" s="141">
        <f t="shared" si="6"/>
        <v>0.8</v>
      </c>
      <c r="W27" s="147">
        <v>5</v>
      </c>
      <c r="X27" s="147">
        <v>0.5</v>
      </c>
      <c r="Y27" s="141">
        <f t="shared" si="7"/>
        <v>0.5</v>
      </c>
      <c r="Z27" s="147">
        <v>78.5</v>
      </c>
      <c r="AA27" s="147">
        <v>7.85</v>
      </c>
      <c r="AB27" s="141">
        <f t="shared" si="8"/>
        <v>0.7440758293838863</v>
      </c>
      <c r="AC27" s="142">
        <f t="shared" si="9"/>
        <v>330.5</v>
      </c>
      <c r="AD27" s="143">
        <f t="shared" si="10"/>
        <v>42.912499999999994</v>
      </c>
      <c r="AE27" s="144"/>
      <c r="AF27" s="148"/>
      <c r="AG27" s="148"/>
      <c r="AH27" s="148"/>
      <c r="AI27" s="148"/>
    </row>
    <row r="28" spans="1:35" ht="15.75">
      <c r="A28" s="139">
        <v>38</v>
      </c>
      <c r="B28" s="151">
        <v>54.925</v>
      </c>
      <c r="C28" s="151">
        <v>2.74625</v>
      </c>
      <c r="D28" s="141">
        <f t="shared" si="0"/>
        <v>0.6197461212976022</v>
      </c>
      <c r="E28" s="151">
        <v>64</v>
      </c>
      <c r="F28" s="151">
        <v>1.6</v>
      </c>
      <c r="G28" s="141">
        <f t="shared" si="1"/>
        <v>0.6772486772486772</v>
      </c>
      <c r="H28" s="151">
        <v>6</v>
      </c>
      <c r="I28" s="151">
        <v>0.15</v>
      </c>
      <c r="J28" s="141">
        <f t="shared" si="2"/>
        <v>0.08571428571428572</v>
      </c>
      <c r="K28" s="151">
        <v>26.5</v>
      </c>
      <c r="L28" s="151">
        <v>7.95</v>
      </c>
      <c r="M28" s="141">
        <f t="shared" si="3"/>
        <v>0.29041095890410956</v>
      </c>
      <c r="N28" s="151">
        <v>20</v>
      </c>
      <c r="O28" s="151">
        <v>2</v>
      </c>
      <c r="P28" s="141">
        <f t="shared" si="4"/>
        <v>0.13071895424836602</v>
      </c>
      <c r="Q28" s="151">
        <v>79</v>
      </c>
      <c r="R28" s="151">
        <v>23.7</v>
      </c>
      <c r="S28" s="141">
        <f t="shared" si="5"/>
        <v>0.5231788079470199</v>
      </c>
      <c r="T28" s="151">
        <v>8</v>
      </c>
      <c r="U28" s="151">
        <v>0.8</v>
      </c>
      <c r="V28" s="141">
        <f t="shared" si="6"/>
        <v>0.8</v>
      </c>
      <c r="W28" s="151">
        <v>10</v>
      </c>
      <c r="X28" s="151">
        <v>1</v>
      </c>
      <c r="Y28" s="141">
        <f t="shared" si="7"/>
        <v>1</v>
      </c>
      <c r="Z28" s="151">
        <v>37.5</v>
      </c>
      <c r="AA28" s="151">
        <v>3.75</v>
      </c>
      <c r="AB28" s="141">
        <f t="shared" si="8"/>
        <v>0.35545023696682465</v>
      </c>
      <c r="AC28" s="142">
        <f t="shared" si="9"/>
        <v>305.925</v>
      </c>
      <c r="AD28" s="143">
        <f t="shared" si="10"/>
        <v>43.69624999999999</v>
      </c>
      <c r="AE28" s="144"/>
      <c r="AF28" s="152"/>
      <c r="AG28" s="152"/>
      <c r="AH28" s="152"/>
      <c r="AI28" s="152"/>
    </row>
    <row r="29" spans="1:35" ht="15.75">
      <c r="A29" s="139" t="s">
        <v>793</v>
      </c>
      <c r="B29" s="151">
        <v>55.625</v>
      </c>
      <c r="C29" s="151">
        <v>2.78125</v>
      </c>
      <c r="D29" s="141">
        <f t="shared" si="0"/>
        <v>0.6276445698166432</v>
      </c>
      <c r="E29" s="151">
        <v>94.5</v>
      </c>
      <c r="F29" s="151">
        <v>2.3625</v>
      </c>
      <c r="G29" s="141">
        <f t="shared" si="1"/>
        <v>1</v>
      </c>
      <c r="H29" s="151">
        <v>65</v>
      </c>
      <c r="I29" s="151">
        <v>1.625</v>
      </c>
      <c r="J29" s="141">
        <f t="shared" si="2"/>
        <v>0.9285714285714286</v>
      </c>
      <c r="K29" s="151">
        <v>91.25</v>
      </c>
      <c r="L29" s="151">
        <v>27.375</v>
      </c>
      <c r="M29" s="141">
        <f t="shared" si="3"/>
        <v>1</v>
      </c>
      <c r="N29" s="151">
        <v>31</v>
      </c>
      <c r="O29" s="151">
        <v>3.1</v>
      </c>
      <c r="P29" s="141">
        <f t="shared" si="4"/>
        <v>0.20261437908496732</v>
      </c>
      <c r="Q29" s="445">
        <v>151</v>
      </c>
      <c r="R29" s="151">
        <v>30</v>
      </c>
      <c r="S29" s="141">
        <f t="shared" si="5"/>
        <v>1</v>
      </c>
      <c r="T29" s="151">
        <v>8</v>
      </c>
      <c r="U29" s="151">
        <v>0.8</v>
      </c>
      <c r="V29" s="141">
        <f t="shared" si="6"/>
        <v>0.8</v>
      </c>
      <c r="W29" s="151">
        <v>10</v>
      </c>
      <c r="X29" s="151">
        <v>1</v>
      </c>
      <c r="Y29" s="141">
        <f t="shared" si="7"/>
        <v>1</v>
      </c>
      <c r="Z29" s="151">
        <v>52.5</v>
      </c>
      <c r="AA29" s="151">
        <v>5.25</v>
      </c>
      <c r="AB29" s="141">
        <f t="shared" si="8"/>
        <v>0.4976303317535545</v>
      </c>
      <c r="AC29" s="142">
        <f t="shared" si="9"/>
        <v>558.875</v>
      </c>
      <c r="AD29" s="143">
        <f t="shared" si="10"/>
        <v>74.29375</v>
      </c>
      <c r="AE29" s="144"/>
      <c r="AF29" s="152"/>
      <c r="AG29" s="152"/>
      <c r="AH29" s="152"/>
      <c r="AI29" s="152"/>
    </row>
    <row r="30" spans="1:35" ht="15.75">
      <c r="A30" s="139" t="s">
        <v>794</v>
      </c>
      <c r="B30" s="147">
        <v>55.625</v>
      </c>
      <c r="C30" s="147">
        <v>2.78125</v>
      </c>
      <c r="D30" s="141">
        <f t="shared" si="0"/>
        <v>0.6276445698166432</v>
      </c>
      <c r="E30" s="147">
        <v>94.5</v>
      </c>
      <c r="F30" s="147">
        <v>2.3625</v>
      </c>
      <c r="G30" s="141">
        <f t="shared" si="1"/>
        <v>1</v>
      </c>
      <c r="H30" s="147">
        <v>25</v>
      </c>
      <c r="I30" s="147">
        <v>0.625</v>
      </c>
      <c r="J30" s="141">
        <f t="shared" si="2"/>
        <v>0.35714285714285715</v>
      </c>
      <c r="K30" s="147">
        <v>90.25</v>
      </c>
      <c r="L30" s="147">
        <v>27.075</v>
      </c>
      <c r="M30" s="141">
        <f t="shared" si="3"/>
        <v>0.989041095890411</v>
      </c>
      <c r="N30" s="147">
        <v>31</v>
      </c>
      <c r="O30" s="147">
        <v>3.1</v>
      </c>
      <c r="P30" s="141">
        <f t="shared" si="4"/>
        <v>0.20261437908496732</v>
      </c>
      <c r="Q30" s="447">
        <v>115</v>
      </c>
      <c r="R30" s="147">
        <v>30</v>
      </c>
      <c r="S30" s="141">
        <f t="shared" si="5"/>
        <v>0.7615894039735099</v>
      </c>
      <c r="T30" s="147">
        <v>8</v>
      </c>
      <c r="U30" s="147">
        <v>0.8</v>
      </c>
      <c r="V30" s="141">
        <f t="shared" si="6"/>
        <v>0.8</v>
      </c>
      <c r="W30" s="147">
        <v>10</v>
      </c>
      <c r="X30" s="147">
        <v>1</v>
      </c>
      <c r="Y30" s="141">
        <f t="shared" si="7"/>
        <v>1</v>
      </c>
      <c r="Z30" s="147">
        <v>49.5</v>
      </c>
      <c r="AA30" s="147">
        <v>4.95</v>
      </c>
      <c r="AB30" s="141">
        <f t="shared" si="8"/>
        <v>0.46919431279620855</v>
      </c>
      <c r="AC30" s="142">
        <f t="shared" si="9"/>
        <v>478.875</v>
      </c>
      <c r="AD30" s="143">
        <f t="shared" si="10"/>
        <v>72.69375</v>
      </c>
      <c r="AE30" s="144"/>
      <c r="AF30" s="148"/>
      <c r="AG30" s="148"/>
      <c r="AH30" s="148"/>
      <c r="AI30" s="148"/>
    </row>
    <row r="31" spans="1:35" ht="15.75">
      <c r="A31" s="139" t="s">
        <v>795</v>
      </c>
      <c r="B31" s="151">
        <v>52.625</v>
      </c>
      <c r="C31" s="151">
        <v>2.63125</v>
      </c>
      <c r="D31" s="141">
        <f t="shared" si="0"/>
        <v>0.5937940761636107</v>
      </c>
      <c r="E31" s="151">
        <v>94.5</v>
      </c>
      <c r="F31" s="151">
        <v>2.3625</v>
      </c>
      <c r="G31" s="141">
        <f t="shared" si="1"/>
        <v>1</v>
      </c>
      <c r="H31" s="151">
        <v>65</v>
      </c>
      <c r="I31" s="151">
        <v>1.625</v>
      </c>
      <c r="J31" s="141">
        <f t="shared" si="2"/>
        <v>0.9285714285714286</v>
      </c>
      <c r="K31" s="151">
        <v>91.25</v>
      </c>
      <c r="L31" s="151">
        <v>27.375</v>
      </c>
      <c r="M31" s="141">
        <f t="shared" si="3"/>
        <v>1</v>
      </c>
      <c r="N31" s="151">
        <v>31</v>
      </c>
      <c r="O31" s="151">
        <v>3.1</v>
      </c>
      <c r="P31" s="141">
        <f t="shared" si="4"/>
        <v>0.20261437908496732</v>
      </c>
      <c r="Q31" s="445">
        <v>151</v>
      </c>
      <c r="R31" s="151">
        <v>30</v>
      </c>
      <c r="S31" s="141">
        <f t="shared" si="5"/>
        <v>1</v>
      </c>
      <c r="T31" s="147">
        <v>8</v>
      </c>
      <c r="U31" s="151">
        <v>0.8</v>
      </c>
      <c r="V31" s="141">
        <f t="shared" si="6"/>
        <v>0.8</v>
      </c>
      <c r="W31" s="151">
        <v>10</v>
      </c>
      <c r="X31" s="151">
        <v>1</v>
      </c>
      <c r="Y31" s="141">
        <f t="shared" si="7"/>
        <v>1</v>
      </c>
      <c r="Z31" s="151">
        <v>52.5</v>
      </c>
      <c r="AA31" s="151">
        <v>5.25</v>
      </c>
      <c r="AB31" s="141">
        <f t="shared" si="8"/>
        <v>0.4976303317535545</v>
      </c>
      <c r="AC31" s="142">
        <f t="shared" si="9"/>
        <v>555.875</v>
      </c>
      <c r="AD31" s="143">
        <f t="shared" si="10"/>
        <v>74.14375</v>
      </c>
      <c r="AE31" s="144"/>
      <c r="AF31" s="152"/>
      <c r="AG31" s="152"/>
      <c r="AH31" s="152"/>
      <c r="AI31" s="152"/>
    </row>
    <row r="32" spans="1:35" ht="15.75">
      <c r="A32" s="139" t="s">
        <v>796</v>
      </c>
      <c r="B32" s="151">
        <v>55.625</v>
      </c>
      <c r="C32" s="151">
        <v>2.78125</v>
      </c>
      <c r="D32" s="141">
        <f t="shared" si="0"/>
        <v>0.6276445698166432</v>
      </c>
      <c r="E32" s="151">
        <v>94.5</v>
      </c>
      <c r="F32" s="151">
        <v>2.3625</v>
      </c>
      <c r="G32" s="141">
        <f t="shared" si="1"/>
        <v>1</v>
      </c>
      <c r="H32" s="151">
        <v>45</v>
      </c>
      <c r="I32" s="151">
        <v>1.125</v>
      </c>
      <c r="J32" s="141">
        <f t="shared" si="2"/>
        <v>0.6428571428571429</v>
      </c>
      <c r="K32" s="151">
        <v>91.25</v>
      </c>
      <c r="L32" s="151">
        <v>27.375</v>
      </c>
      <c r="M32" s="141">
        <f t="shared" si="3"/>
        <v>1</v>
      </c>
      <c r="N32" s="151">
        <v>31</v>
      </c>
      <c r="O32" s="151">
        <v>3.1</v>
      </c>
      <c r="P32" s="141">
        <f t="shared" si="4"/>
        <v>0.20261437908496732</v>
      </c>
      <c r="Q32" s="445">
        <v>151</v>
      </c>
      <c r="R32" s="151">
        <v>30</v>
      </c>
      <c r="S32" s="141">
        <f t="shared" si="5"/>
        <v>1</v>
      </c>
      <c r="T32" s="151">
        <v>8</v>
      </c>
      <c r="U32" s="151">
        <v>0.8</v>
      </c>
      <c r="V32" s="141">
        <f t="shared" si="6"/>
        <v>0.8</v>
      </c>
      <c r="W32" s="151">
        <v>10</v>
      </c>
      <c r="X32" s="151">
        <v>1</v>
      </c>
      <c r="Y32" s="141">
        <f t="shared" si="7"/>
        <v>1</v>
      </c>
      <c r="Z32" s="151">
        <v>52.5</v>
      </c>
      <c r="AA32" s="151">
        <v>5.25</v>
      </c>
      <c r="AB32" s="141">
        <f t="shared" si="8"/>
        <v>0.4976303317535545</v>
      </c>
      <c r="AC32" s="142">
        <f t="shared" si="9"/>
        <v>538.875</v>
      </c>
      <c r="AD32" s="143">
        <f t="shared" si="10"/>
        <v>73.79375</v>
      </c>
      <c r="AE32" s="144"/>
      <c r="AF32" s="152"/>
      <c r="AG32" s="152"/>
      <c r="AH32" s="152"/>
      <c r="AI32" s="152"/>
    </row>
    <row r="33" spans="1:35" ht="15.75">
      <c r="A33" s="139" t="s">
        <v>797</v>
      </c>
      <c r="B33" s="151">
        <v>55.625</v>
      </c>
      <c r="C33" s="151">
        <v>2.78125</v>
      </c>
      <c r="D33" s="141">
        <f t="shared" si="0"/>
        <v>0.6276445698166432</v>
      </c>
      <c r="E33" s="151">
        <v>87</v>
      </c>
      <c r="F33" s="151">
        <v>2.175</v>
      </c>
      <c r="G33" s="141">
        <f t="shared" si="1"/>
        <v>0.9206349206349206</v>
      </c>
      <c r="H33" s="151">
        <v>45</v>
      </c>
      <c r="I33" s="151">
        <v>1.125</v>
      </c>
      <c r="J33" s="141">
        <f t="shared" si="2"/>
        <v>0.6428571428571429</v>
      </c>
      <c r="K33" s="151">
        <v>91.25</v>
      </c>
      <c r="L33" s="151">
        <v>27.375</v>
      </c>
      <c r="M33" s="141">
        <f t="shared" si="3"/>
        <v>1</v>
      </c>
      <c r="N33" s="151">
        <v>31</v>
      </c>
      <c r="O33" s="151">
        <v>3.1</v>
      </c>
      <c r="P33" s="141">
        <f t="shared" si="4"/>
        <v>0.20261437908496732</v>
      </c>
      <c r="Q33" s="445">
        <v>151</v>
      </c>
      <c r="R33" s="151">
        <v>30</v>
      </c>
      <c r="S33" s="141">
        <f t="shared" si="5"/>
        <v>1</v>
      </c>
      <c r="T33" s="151">
        <v>8</v>
      </c>
      <c r="U33" s="151">
        <v>0.8</v>
      </c>
      <c r="V33" s="141">
        <f t="shared" si="6"/>
        <v>0.8</v>
      </c>
      <c r="W33" s="151">
        <v>10</v>
      </c>
      <c r="X33" s="151">
        <v>1</v>
      </c>
      <c r="Y33" s="141">
        <f t="shared" si="7"/>
        <v>1</v>
      </c>
      <c r="Z33" s="151">
        <v>52.5</v>
      </c>
      <c r="AA33" s="151">
        <v>5.25</v>
      </c>
      <c r="AB33" s="141">
        <f t="shared" si="8"/>
        <v>0.4976303317535545</v>
      </c>
      <c r="AC33" s="142">
        <f t="shared" si="9"/>
        <v>531.375</v>
      </c>
      <c r="AD33" s="143">
        <f t="shared" si="10"/>
        <v>73.60625</v>
      </c>
      <c r="AE33" s="144"/>
      <c r="AF33" s="152"/>
      <c r="AG33" s="152"/>
      <c r="AH33" s="152"/>
      <c r="AI33" s="152"/>
    </row>
    <row r="34" spans="1:35" ht="15.75">
      <c r="A34" s="139">
        <v>40</v>
      </c>
      <c r="B34" s="147">
        <v>19</v>
      </c>
      <c r="C34" s="147">
        <v>0.95</v>
      </c>
      <c r="D34" s="141">
        <f t="shared" si="0"/>
        <v>0.2143864598025388</v>
      </c>
      <c r="E34" s="147">
        <v>67</v>
      </c>
      <c r="F34" s="147">
        <v>1.675</v>
      </c>
      <c r="G34" s="141">
        <f t="shared" si="1"/>
        <v>0.708994708994709</v>
      </c>
      <c r="H34" s="147">
        <v>16</v>
      </c>
      <c r="I34" s="147">
        <v>0.4</v>
      </c>
      <c r="J34" s="141">
        <f t="shared" si="2"/>
        <v>0.22857142857142856</v>
      </c>
      <c r="K34" s="147">
        <v>88</v>
      </c>
      <c r="L34" s="147">
        <v>26.4</v>
      </c>
      <c r="M34" s="141">
        <f t="shared" si="3"/>
        <v>0.9643835616438357</v>
      </c>
      <c r="N34" s="147">
        <v>31</v>
      </c>
      <c r="O34" s="147">
        <v>3.1</v>
      </c>
      <c r="P34" s="141">
        <f t="shared" si="4"/>
        <v>0.20261437908496732</v>
      </c>
      <c r="Q34" s="147">
        <v>7</v>
      </c>
      <c r="R34" s="147">
        <v>2.1</v>
      </c>
      <c r="S34" s="141">
        <f t="shared" si="5"/>
        <v>0.046357615894039736</v>
      </c>
      <c r="T34" s="147">
        <v>3</v>
      </c>
      <c r="U34" s="147">
        <v>0.3</v>
      </c>
      <c r="V34" s="141">
        <f t="shared" si="6"/>
        <v>0.3</v>
      </c>
      <c r="W34" s="147">
        <v>5</v>
      </c>
      <c r="X34" s="147">
        <v>0.5</v>
      </c>
      <c r="Y34" s="141">
        <f t="shared" si="7"/>
        <v>0.5</v>
      </c>
      <c r="Z34" s="147">
        <v>37.5</v>
      </c>
      <c r="AA34" s="147">
        <v>3.75</v>
      </c>
      <c r="AB34" s="141">
        <f t="shared" si="8"/>
        <v>0.35545023696682465</v>
      </c>
      <c r="AC34" s="142">
        <f t="shared" si="9"/>
        <v>273.5</v>
      </c>
      <c r="AD34" s="143">
        <f t="shared" si="10"/>
        <v>39.175</v>
      </c>
      <c r="AE34" s="144"/>
      <c r="AF34" s="148"/>
      <c r="AG34" s="148"/>
      <c r="AH34" s="148"/>
      <c r="AI34" s="148"/>
    </row>
    <row r="35" spans="1:35" ht="15.75">
      <c r="A35" s="139">
        <v>41</v>
      </c>
      <c r="B35" s="147">
        <v>62</v>
      </c>
      <c r="C35" s="147">
        <v>3.1</v>
      </c>
      <c r="D35" s="141">
        <f t="shared" si="0"/>
        <v>0.6995768688293371</v>
      </c>
      <c r="E35" s="147">
        <v>38</v>
      </c>
      <c r="F35" s="147">
        <v>0.95</v>
      </c>
      <c r="G35" s="141">
        <f t="shared" si="1"/>
        <v>0.4021164021164021</v>
      </c>
      <c r="H35" s="147">
        <v>60</v>
      </c>
      <c r="I35" s="147">
        <v>1.5</v>
      </c>
      <c r="J35" s="141">
        <f t="shared" si="2"/>
        <v>0.8571428571428571</v>
      </c>
      <c r="K35" s="147">
        <v>27.5</v>
      </c>
      <c r="L35" s="147">
        <v>8.25</v>
      </c>
      <c r="M35" s="141">
        <f t="shared" si="3"/>
        <v>0.3013698630136986</v>
      </c>
      <c r="N35" s="147">
        <v>31</v>
      </c>
      <c r="O35" s="147">
        <v>3.1</v>
      </c>
      <c r="P35" s="141">
        <f t="shared" si="4"/>
        <v>0.20261437908496732</v>
      </c>
      <c r="Q35" s="147">
        <v>79</v>
      </c>
      <c r="R35" s="147">
        <v>23.7</v>
      </c>
      <c r="S35" s="141">
        <f t="shared" si="5"/>
        <v>0.5231788079470199</v>
      </c>
      <c r="T35" s="147">
        <v>0</v>
      </c>
      <c r="U35" s="147">
        <v>0</v>
      </c>
      <c r="V35" s="141">
        <f t="shared" si="6"/>
        <v>0</v>
      </c>
      <c r="W35" s="147">
        <v>0</v>
      </c>
      <c r="X35" s="147">
        <v>0</v>
      </c>
      <c r="Y35" s="141">
        <f t="shared" si="7"/>
        <v>0</v>
      </c>
      <c r="Z35" s="147">
        <v>55.5</v>
      </c>
      <c r="AA35" s="147">
        <v>5.55</v>
      </c>
      <c r="AB35" s="141">
        <f t="shared" si="8"/>
        <v>0.5260663507109005</v>
      </c>
      <c r="AC35" s="142">
        <f t="shared" si="9"/>
        <v>353</v>
      </c>
      <c r="AD35" s="143">
        <f t="shared" si="10"/>
        <v>46.15</v>
      </c>
      <c r="AE35" s="144"/>
      <c r="AF35" s="148"/>
      <c r="AG35" s="148"/>
      <c r="AH35" s="148"/>
      <c r="AI35" s="148"/>
    </row>
    <row r="36" spans="1:35" ht="15.75">
      <c r="A36" s="139" t="s">
        <v>798</v>
      </c>
      <c r="B36" s="147">
        <v>43</v>
      </c>
      <c r="C36" s="147">
        <v>2.15</v>
      </c>
      <c r="D36" s="141">
        <f t="shared" si="0"/>
        <v>0.48519040902679833</v>
      </c>
      <c r="E36" s="147">
        <v>64.5</v>
      </c>
      <c r="F36" s="147">
        <v>1.6125</v>
      </c>
      <c r="G36" s="141">
        <f t="shared" si="1"/>
        <v>0.6825396825396826</v>
      </c>
      <c r="H36" s="147">
        <v>40</v>
      </c>
      <c r="I36" s="147">
        <v>1</v>
      </c>
      <c r="J36" s="141">
        <f t="shared" si="2"/>
        <v>0.5714285714285714</v>
      </c>
      <c r="K36" s="147">
        <v>27</v>
      </c>
      <c r="L36" s="147">
        <v>8.1</v>
      </c>
      <c r="M36" s="141">
        <f t="shared" si="3"/>
        <v>0.2958904109589041</v>
      </c>
      <c r="N36" s="147">
        <v>30</v>
      </c>
      <c r="O36" s="147">
        <v>3</v>
      </c>
      <c r="P36" s="141">
        <f t="shared" si="4"/>
        <v>0.19607843137254902</v>
      </c>
      <c r="Q36" s="147">
        <v>2</v>
      </c>
      <c r="R36" s="147">
        <v>0.6</v>
      </c>
      <c r="S36" s="141">
        <f t="shared" si="5"/>
        <v>0.013245033112582781</v>
      </c>
      <c r="T36" s="147">
        <v>8</v>
      </c>
      <c r="U36" s="147">
        <v>0.8</v>
      </c>
      <c r="V36" s="141">
        <f t="shared" si="6"/>
        <v>0.8</v>
      </c>
      <c r="W36" s="147">
        <v>10</v>
      </c>
      <c r="X36" s="147">
        <v>1</v>
      </c>
      <c r="Y36" s="141">
        <f t="shared" si="7"/>
        <v>1</v>
      </c>
      <c r="Z36" s="147">
        <v>58.5</v>
      </c>
      <c r="AA36" s="147">
        <v>5.85</v>
      </c>
      <c r="AB36" s="141">
        <f t="shared" si="8"/>
        <v>0.5545023696682464</v>
      </c>
      <c r="AC36" s="142">
        <f t="shared" si="9"/>
        <v>283</v>
      </c>
      <c r="AD36" s="143">
        <f aca="true" t="shared" si="11" ref="AD36:AD72">SUM(C36,F36,I36,L36,O36,R36,U36,X36,AA36)</f>
        <v>24.112500000000004</v>
      </c>
      <c r="AE36" s="144"/>
      <c r="AF36" s="148"/>
      <c r="AG36" s="148"/>
      <c r="AH36" s="148"/>
      <c r="AI36" s="148"/>
    </row>
    <row r="37" spans="1:35" ht="15.75">
      <c r="A37" s="139" t="s">
        <v>799</v>
      </c>
      <c r="B37" s="147"/>
      <c r="C37" s="147"/>
      <c r="D37" s="141">
        <f t="shared" si="0"/>
        <v>0</v>
      </c>
      <c r="E37" s="147"/>
      <c r="F37" s="147"/>
      <c r="G37" s="141">
        <f t="shared" si="1"/>
        <v>0</v>
      </c>
      <c r="H37" s="147"/>
      <c r="I37" s="147"/>
      <c r="J37" s="141">
        <f t="shared" si="2"/>
        <v>0</v>
      </c>
      <c r="K37" s="147"/>
      <c r="L37" s="147"/>
      <c r="M37" s="141">
        <f t="shared" si="3"/>
        <v>0</v>
      </c>
      <c r="N37" s="147"/>
      <c r="O37" s="147"/>
      <c r="P37" s="141">
        <f t="shared" si="4"/>
        <v>0</v>
      </c>
      <c r="Q37" s="147"/>
      <c r="R37" s="147"/>
      <c r="S37" s="141">
        <f t="shared" si="5"/>
        <v>0</v>
      </c>
      <c r="T37" s="147"/>
      <c r="U37" s="147"/>
      <c r="V37" s="141">
        <f t="shared" si="6"/>
        <v>0</v>
      </c>
      <c r="W37" s="147"/>
      <c r="X37" s="147"/>
      <c r="Y37" s="141">
        <f t="shared" si="7"/>
        <v>0</v>
      </c>
      <c r="Z37" s="147"/>
      <c r="AA37" s="147"/>
      <c r="AB37" s="141">
        <f t="shared" si="8"/>
        <v>0</v>
      </c>
      <c r="AC37" s="142"/>
      <c r="AD37" s="143"/>
      <c r="AE37" s="144"/>
      <c r="AF37" s="148"/>
      <c r="AG37" s="148"/>
      <c r="AH37" s="148"/>
      <c r="AI37" s="148"/>
    </row>
    <row r="38" spans="1:35" ht="15.75">
      <c r="A38" s="139">
        <v>44</v>
      </c>
      <c r="B38" s="140">
        <v>59</v>
      </c>
      <c r="C38" s="140">
        <v>2.95</v>
      </c>
      <c r="D38" s="141">
        <f t="shared" si="0"/>
        <v>0.6657263751763046</v>
      </c>
      <c r="E38" s="140">
        <v>74.5</v>
      </c>
      <c r="F38" s="140">
        <v>1.8625</v>
      </c>
      <c r="G38" s="141">
        <f t="shared" si="1"/>
        <v>0.7883597883597884</v>
      </c>
      <c r="H38" s="140">
        <v>10</v>
      </c>
      <c r="I38" s="140">
        <v>0.25</v>
      </c>
      <c r="J38" s="141">
        <f t="shared" si="2"/>
        <v>0.14285714285714285</v>
      </c>
      <c r="K38" s="140">
        <v>69.25</v>
      </c>
      <c r="L38" s="140">
        <v>20.775</v>
      </c>
      <c r="M38" s="141">
        <f t="shared" si="3"/>
        <v>0.7589041095890411</v>
      </c>
      <c r="N38" s="140">
        <v>0</v>
      </c>
      <c r="O38" s="140">
        <v>0</v>
      </c>
      <c r="P38" s="141">
        <f t="shared" si="4"/>
        <v>0</v>
      </c>
      <c r="Q38" s="140">
        <v>25</v>
      </c>
      <c r="R38" s="140">
        <v>7.5</v>
      </c>
      <c r="S38" s="141">
        <f t="shared" si="5"/>
        <v>0.16556291390728478</v>
      </c>
      <c r="T38" s="140">
        <v>8</v>
      </c>
      <c r="U38" s="140">
        <v>0.8</v>
      </c>
      <c r="V38" s="141">
        <f t="shared" si="6"/>
        <v>0.8</v>
      </c>
      <c r="W38" s="140">
        <v>10</v>
      </c>
      <c r="X38" s="140">
        <v>1</v>
      </c>
      <c r="Y38" s="141">
        <f t="shared" si="7"/>
        <v>1</v>
      </c>
      <c r="Z38" s="140">
        <v>84.5</v>
      </c>
      <c r="AA38" s="154">
        <v>8.45</v>
      </c>
      <c r="AB38" s="141">
        <f t="shared" si="8"/>
        <v>0.8009478672985783</v>
      </c>
      <c r="AC38" s="142">
        <f>SUM(B38,E38,H38,K38,N38,Q38,T38,W38,Z38)</f>
        <v>340.25</v>
      </c>
      <c r="AD38" s="143">
        <f t="shared" si="11"/>
        <v>43.58749999999999</v>
      </c>
      <c r="AE38" s="144"/>
      <c r="AF38" s="138"/>
      <c r="AG38" s="138"/>
      <c r="AH38" s="138"/>
      <c r="AI38" s="138"/>
    </row>
    <row r="39" spans="1:35" ht="15.75">
      <c r="A39" s="139">
        <v>45</v>
      </c>
      <c r="B39" s="140">
        <v>11</v>
      </c>
      <c r="C39" s="140">
        <v>0.55</v>
      </c>
      <c r="D39" s="141">
        <f t="shared" si="0"/>
        <v>0.12411847672778561</v>
      </c>
      <c r="E39" s="140">
        <v>74.5</v>
      </c>
      <c r="F39" s="140">
        <v>1.8625</v>
      </c>
      <c r="G39" s="141">
        <f t="shared" si="1"/>
        <v>0.7883597883597884</v>
      </c>
      <c r="H39" s="140">
        <v>10</v>
      </c>
      <c r="I39" s="140">
        <v>0.25</v>
      </c>
      <c r="J39" s="141">
        <f t="shared" si="2"/>
        <v>0.14285714285714285</v>
      </c>
      <c r="K39" s="140">
        <v>26.75</v>
      </c>
      <c r="L39" s="140">
        <v>8.025</v>
      </c>
      <c r="M39" s="141">
        <f t="shared" si="3"/>
        <v>0.29315068493150687</v>
      </c>
      <c r="N39" s="140">
        <v>0</v>
      </c>
      <c r="O39" s="140">
        <v>0</v>
      </c>
      <c r="P39" s="141">
        <f t="shared" si="4"/>
        <v>0</v>
      </c>
      <c r="Q39" s="140">
        <v>25</v>
      </c>
      <c r="R39" s="140">
        <v>7.5</v>
      </c>
      <c r="S39" s="141">
        <f t="shared" si="5"/>
        <v>0.16556291390728478</v>
      </c>
      <c r="T39" s="140">
        <v>8</v>
      </c>
      <c r="U39" s="140">
        <v>0.8</v>
      </c>
      <c r="V39" s="141">
        <f t="shared" si="6"/>
        <v>0.8</v>
      </c>
      <c r="W39" s="140">
        <v>10</v>
      </c>
      <c r="X39" s="140">
        <v>1</v>
      </c>
      <c r="Y39" s="141">
        <f t="shared" si="7"/>
        <v>1</v>
      </c>
      <c r="Z39" s="140">
        <v>81.5</v>
      </c>
      <c r="AA39" s="154">
        <v>8.15</v>
      </c>
      <c r="AB39" s="141">
        <f t="shared" si="8"/>
        <v>0.7725118483412322</v>
      </c>
      <c r="AC39" s="142">
        <f>SUM(B39,E39,H39,K39,N39,Q39,T39,W39,Z39)</f>
        <v>246.75</v>
      </c>
      <c r="AD39" s="143">
        <f t="shared" si="11"/>
        <v>28.137500000000003</v>
      </c>
      <c r="AE39" s="144"/>
      <c r="AF39" s="138"/>
      <c r="AG39" s="138"/>
      <c r="AH39" s="138"/>
      <c r="AI39" s="138"/>
    </row>
    <row r="40" spans="1:35" ht="15.75">
      <c r="A40" s="139">
        <v>46</v>
      </c>
      <c r="B40" s="140"/>
      <c r="C40" s="140"/>
      <c r="D40" s="141">
        <f t="shared" si="0"/>
        <v>0</v>
      </c>
      <c r="E40" s="140"/>
      <c r="F40" s="140"/>
      <c r="G40" s="141">
        <f t="shared" si="1"/>
        <v>0</v>
      </c>
      <c r="H40" s="140"/>
      <c r="I40" s="140"/>
      <c r="J40" s="141">
        <f t="shared" si="2"/>
        <v>0</v>
      </c>
      <c r="K40" s="140"/>
      <c r="L40" s="140"/>
      <c r="M40" s="141">
        <f t="shared" si="3"/>
        <v>0</v>
      </c>
      <c r="N40" s="140"/>
      <c r="O40" s="140"/>
      <c r="P40" s="141">
        <f t="shared" si="4"/>
        <v>0</v>
      </c>
      <c r="Q40" s="140"/>
      <c r="R40" s="140"/>
      <c r="S40" s="141">
        <f t="shared" si="5"/>
        <v>0</v>
      </c>
      <c r="T40" s="140"/>
      <c r="U40" s="140"/>
      <c r="V40" s="141">
        <f t="shared" si="6"/>
        <v>0</v>
      </c>
      <c r="W40" s="140"/>
      <c r="X40" s="140"/>
      <c r="Y40" s="141">
        <f t="shared" si="7"/>
        <v>0</v>
      </c>
      <c r="Z40" s="140"/>
      <c r="AA40" s="140"/>
      <c r="AB40" s="141">
        <f t="shared" si="8"/>
        <v>0</v>
      </c>
      <c r="AC40" s="142"/>
      <c r="AD40" s="143"/>
      <c r="AE40" s="144"/>
      <c r="AF40" s="138"/>
      <c r="AG40" s="138"/>
      <c r="AH40" s="138"/>
      <c r="AI40" s="138"/>
    </row>
    <row r="41" spans="1:35" ht="15.75">
      <c r="A41" s="139">
        <v>47</v>
      </c>
      <c r="B41" s="140">
        <v>58.125</v>
      </c>
      <c r="C41" s="140">
        <v>2.90625</v>
      </c>
      <c r="D41" s="141">
        <f t="shared" si="0"/>
        <v>0.6558533145275035</v>
      </c>
      <c r="E41" s="140">
        <v>58</v>
      </c>
      <c r="F41" s="140">
        <v>1.45</v>
      </c>
      <c r="G41" s="141">
        <f t="shared" si="1"/>
        <v>0.6137566137566137</v>
      </c>
      <c r="H41" s="140">
        <v>20</v>
      </c>
      <c r="I41" s="140">
        <v>0.5</v>
      </c>
      <c r="J41" s="141">
        <f t="shared" si="2"/>
        <v>0.2857142857142857</v>
      </c>
      <c r="K41" s="140">
        <v>67.75</v>
      </c>
      <c r="L41" s="140">
        <v>20.325</v>
      </c>
      <c r="M41" s="141">
        <f t="shared" si="3"/>
        <v>0.7424657534246575</v>
      </c>
      <c r="N41" s="140">
        <v>30</v>
      </c>
      <c r="O41" s="140">
        <v>3</v>
      </c>
      <c r="P41" s="141">
        <f t="shared" si="4"/>
        <v>0.19607843137254902</v>
      </c>
      <c r="Q41" s="140">
        <v>79</v>
      </c>
      <c r="R41" s="140">
        <v>23.7</v>
      </c>
      <c r="S41" s="141">
        <f t="shared" si="5"/>
        <v>0.5231788079470199</v>
      </c>
      <c r="T41" s="140">
        <v>8</v>
      </c>
      <c r="U41" s="140">
        <v>0.8</v>
      </c>
      <c r="V41" s="141">
        <f t="shared" si="6"/>
        <v>0.8</v>
      </c>
      <c r="W41" s="140">
        <v>5</v>
      </c>
      <c r="X41" s="140">
        <v>0.5</v>
      </c>
      <c r="Y41" s="141">
        <f t="shared" si="7"/>
        <v>0.5</v>
      </c>
      <c r="Z41" s="140">
        <v>95.5</v>
      </c>
      <c r="AA41" s="140">
        <v>9.55</v>
      </c>
      <c r="AB41" s="141">
        <f t="shared" si="8"/>
        <v>0.9052132701421801</v>
      </c>
      <c r="AC41" s="142">
        <f>SUM(B41,E41,H41,K41,N41,Q41,T41,W41,Z41)</f>
        <v>421.375</v>
      </c>
      <c r="AD41" s="143">
        <f t="shared" si="11"/>
        <v>62.73124999999999</v>
      </c>
      <c r="AE41" s="144"/>
      <c r="AF41" s="138"/>
      <c r="AG41" s="138"/>
      <c r="AH41" s="138"/>
      <c r="AI41" s="138"/>
    </row>
    <row r="42" spans="1:35" ht="15.75">
      <c r="A42" s="139">
        <v>49</v>
      </c>
      <c r="B42" s="140"/>
      <c r="C42" s="140"/>
      <c r="D42" s="141">
        <f t="shared" si="0"/>
        <v>0</v>
      </c>
      <c r="E42" s="140"/>
      <c r="F42" s="140"/>
      <c r="G42" s="141">
        <f t="shared" si="1"/>
        <v>0</v>
      </c>
      <c r="H42" s="140"/>
      <c r="I42" s="140"/>
      <c r="J42" s="141">
        <f t="shared" si="2"/>
        <v>0</v>
      </c>
      <c r="K42" s="140"/>
      <c r="L42" s="140"/>
      <c r="M42" s="141">
        <f t="shared" si="3"/>
        <v>0</v>
      </c>
      <c r="N42" s="140"/>
      <c r="O42" s="140"/>
      <c r="P42" s="141">
        <f t="shared" si="4"/>
        <v>0</v>
      </c>
      <c r="Q42" s="140"/>
      <c r="R42" s="140"/>
      <c r="S42" s="141">
        <f t="shared" si="5"/>
        <v>0</v>
      </c>
      <c r="T42" s="140"/>
      <c r="U42" s="140"/>
      <c r="V42" s="141">
        <f t="shared" si="6"/>
        <v>0</v>
      </c>
      <c r="W42" s="140"/>
      <c r="X42" s="140"/>
      <c r="Y42" s="141">
        <f t="shared" si="7"/>
        <v>0</v>
      </c>
      <c r="Z42" s="140"/>
      <c r="AA42" s="140"/>
      <c r="AB42" s="141">
        <f t="shared" si="8"/>
        <v>0</v>
      </c>
      <c r="AC42" s="142"/>
      <c r="AD42" s="143"/>
      <c r="AE42" s="144"/>
      <c r="AF42" s="138"/>
      <c r="AG42" s="138"/>
      <c r="AH42" s="138"/>
      <c r="AI42" s="138"/>
    </row>
    <row r="43" spans="1:35" ht="15.75">
      <c r="A43" s="139">
        <v>50</v>
      </c>
      <c r="B43" s="147">
        <v>27.125</v>
      </c>
      <c r="C43" s="147">
        <v>1.35625</v>
      </c>
      <c r="D43" s="141">
        <f t="shared" si="0"/>
        <v>0.306064880112835</v>
      </c>
      <c r="E43" s="147">
        <v>57.5</v>
      </c>
      <c r="F43" s="147">
        <v>1.4375</v>
      </c>
      <c r="G43" s="141">
        <f t="shared" si="1"/>
        <v>0.6084656084656085</v>
      </c>
      <c r="H43" s="147">
        <v>14</v>
      </c>
      <c r="I43" s="147">
        <v>0.35</v>
      </c>
      <c r="J43" s="141">
        <f t="shared" si="2"/>
        <v>0.2</v>
      </c>
      <c r="K43" s="147">
        <v>26.25</v>
      </c>
      <c r="L43" s="147">
        <v>7.875</v>
      </c>
      <c r="M43" s="141">
        <f t="shared" si="3"/>
        <v>0.2876712328767123</v>
      </c>
      <c r="N43" s="147">
        <v>0</v>
      </c>
      <c r="O43" s="147">
        <v>0</v>
      </c>
      <c r="P43" s="141">
        <f t="shared" si="4"/>
        <v>0</v>
      </c>
      <c r="Q43" s="447">
        <v>115</v>
      </c>
      <c r="R43" s="147">
        <v>30</v>
      </c>
      <c r="S43" s="141">
        <f t="shared" si="5"/>
        <v>0.7615894039735099</v>
      </c>
      <c r="T43" s="147">
        <v>8</v>
      </c>
      <c r="U43" s="147">
        <v>0.8</v>
      </c>
      <c r="V43" s="141">
        <f t="shared" si="6"/>
        <v>0.8</v>
      </c>
      <c r="W43" s="147">
        <v>10</v>
      </c>
      <c r="X43" s="147">
        <v>1</v>
      </c>
      <c r="Y43" s="141">
        <f t="shared" si="7"/>
        <v>1</v>
      </c>
      <c r="Z43" s="147">
        <v>80.5</v>
      </c>
      <c r="AA43" s="147">
        <v>8.05</v>
      </c>
      <c r="AB43" s="141">
        <f t="shared" si="8"/>
        <v>0.7630331753554502</v>
      </c>
      <c r="AC43" s="142">
        <f>SUM(B43,E43,H43,K43,N43,Q43,T43,W43,Z43)</f>
        <v>338.375</v>
      </c>
      <c r="AD43" s="143">
        <f t="shared" si="11"/>
        <v>50.86874999999999</v>
      </c>
      <c r="AE43" s="144"/>
      <c r="AF43" s="148"/>
      <c r="AG43" s="148"/>
      <c r="AH43" s="148"/>
      <c r="AI43" s="148"/>
    </row>
    <row r="44" spans="1:35" ht="15.75">
      <c r="A44" s="139">
        <v>51</v>
      </c>
      <c r="B44" s="151">
        <v>76</v>
      </c>
      <c r="C44" s="151">
        <v>3.8</v>
      </c>
      <c r="D44" s="141">
        <f t="shared" si="0"/>
        <v>0.8575458392101551</v>
      </c>
      <c r="E44" s="151">
        <v>92</v>
      </c>
      <c r="F44" s="151">
        <v>2.3</v>
      </c>
      <c r="G44" s="141">
        <f t="shared" si="1"/>
        <v>0.9735449735449735</v>
      </c>
      <c r="H44" s="151">
        <v>66</v>
      </c>
      <c r="I44" s="151">
        <v>1.65</v>
      </c>
      <c r="J44" s="141">
        <f t="shared" si="2"/>
        <v>0.9428571428571428</v>
      </c>
      <c r="K44" s="151">
        <v>7.5</v>
      </c>
      <c r="L44" s="151">
        <v>2.25</v>
      </c>
      <c r="M44" s="141">
        <f t="shared" si="3"/>
        <v>0.0821917808219178</v>
      </c>
      <c r="N44" s="151">
        <v>63</v>
      </c>
      <c r="O44" s="151">
        <v>6.3</v>
      </c>
      <c r="P44" s="141">
        <f t="shared" si="4"/>
        <v>0.4117647058823529</v>
      </c>
      <c r="Q44" s="445">
        <v>115</v>
      </c>
      <c r="R44" s="151">
        <v>30</v>
      </c>
      <c r="S44" s="141">
        <f t="shared" si="5"/>
        <v>0.7615894039735099</v>
      </c>
      <c r="T44" s="151">
        <v>3</v>
      </c>
      <c r="U44" s="151">
        <v>0.3</v>
      </c>
      <c r="V44" s="141">
        <f t="shared" si="6"/>
        <v>0.3</v>
      </c>
      <c r="W44" s="151">
        <v>5</v>
      </c>
      <c r="X44" s="151">
        <v>0.5</v>
      </c>
      <c r="Y44" s="141">
        <f t="shared" si="7"/>
        <v>0.5</v>
      </c>
      <c r="Z44" s="151">
        <v>70.5</v>
      </c>
      <c r="AA44" s="151">
        <v>7.05</v>
      </c>
      <c r="AB44" s="141">
        <f t="shared" si="8"/>
        <v>0.6682464454976303</v>
      </c>
      <c r="AC44" s="142">
        <f>SUM(B44,E44,H44,K44,N44,Q44,T44,W44,Z44)</f>
        <v>498</v>
      </c>
      <c r="AD44" s="143">
        <f t="shared" si="11"/>
        <v>54.14999999999999</v>
      </c>
      <c r="AE44" s="144"/>
      <c r="AF44" s="152"/>
      <c r="AG44" s="152"/>
      <c r="AH44" s="152"/>
      <c r="AI44" s="152"/>
    </row>
    <row r="45" spans="1:35" ht="15.75">
      <c r="A45" s="139" t="s">
        <v>800</v>
      </c>
      <c r="B45" s="140">
        <v>57.5</v>
      </c>
      <c r="C45" s="140">
        <v>2.875</v>
      </c>
      <c r="D45" s="141">
        <f t="shared" si="0"/>
        <v>0.6488011283497884</v>
      </c>
      <c r="E45" s="140">
        <v>79.5</v>
      </c>
      <c r="F45" s="140">
        <v>1.9875</v>
      </c>
      <c r="G45" s="141">
        <f t="shared" si="1"/>
        <v>0.8412698412698413</v>
      </c>
      <c r="H45" s="140">
        <v>62</v>
      </c>
      <c r="I45" s="140">
        <v>1.55</v>
      </c>
      <c r="J45" s="141">
        <f t="shared" si="2"/>
        <v>0.8857142857142857</v>
      </c>
      <c r="K45" s="140">
        <v>27.75</v>
      </c>
      <c r="L45" s="140">
        <v>8.325</v>
      </c>
      <c r="M45" s="141">
        <f t="shared" si="3"/>
        <v>0.3041095890410959</v>
      </c>
      <c r="N45" s="140">
        <v>21</v>
      </c>
      <c r="O45" s="140">
        <v>2.1</v>
      </c>
      <c r="P45" s="141">
        <f t="shared" si="4"/>
        <v>0.13725490196078433</v>
      </c>
      <c r="Q45" s="449">
        <v>115</v>
      </c>
      <c r="R45" s="140">
        <v>30</v>
      </c>
      <c r="S45" s="141">
        <f t="shared" si="5"/>
        <v>0.7615894039735099</v>
      </c>
      <c r="T45" s="140">
        <v>8</v>
      </c>
      <c r="U45" s="140">
        <v>0.8</v>
      </c>
      <c r="V45" s="141">
        <f t="shared" si="6"/>
        <v>0.8</v>
      </c>
      <c r="W45" s="140">
        <v>10</v>
      </c>
      <c r="X45" s="140">
        <v>1</v>
      </c>
      <c r="Y45" s="141">
        <f t="shared" si="7"/>
        <v>1</v>
      </c>
      <c r="Z45" s="140">
        <v>75.5</v>
      </c>
      <c r="AA45" s="140">
        <v>7.55</v>
      </c>
      <c r="AB45" s="141">
        <f t="shared" si="8"/>
        <v>0.7156398104265402</v>
      </c>
      <c r="AC45" s="142">
        <f>SUM(B45,E45,H45,K45,N45,Q45,T45,W45,Z45)</f>
        <v>456.25</v>
      </c>
      <c r="AD45" s="143">
        <f t="shared" si="11"/>
        <v>56.18749999999999</v>
      </c>
      <c r="AE45" s="144"/>
      <c r="AF45" s="138"/>
      <c r="AG45" s="138"/>
      <c r="AH45" s="138"/>
      <c r="AI45" s="138"/>
    </row>
    <row r="46" spans="1:35" ht="15.75">
      <c r="A46" s="139" t="s">
        <v>801</v>
      </c>
      <c r="B46" s="140"/>
      <c r="C46" s="140"/>
      <c r="D46" s="141">
        <f t="shared" si="0"/>
        <v>0</v>
      </c>
      <c r="E46" s="140"/>
      <c r="F46" s="140"/>
      <c r="G46" s="141">
        <f t="shared" si="1"/>
        <v>0</v>
      </c>
      <c r="H46" s="140"/>
      <c r="I46" s="140"/>
      <c r="J46" s="141">
        <f t="shared" si="2"/>
        <v>0</v>
      </c>
      <c r="K46" s="140"/>
      <c r="L46" s="140"/>
      <c r="M46" s="141">
        <f t="shared" si="3"/>
        <v>0</v>
      </c>
      <c r="N46" s="140"/>
      <c r="O46" s="140"/>
      <c r="P46" s="141">
        <f t="shared" si="4"/>
        <v>0</v>
      </c>
      <c r="Q46" s="140"/>
      <c r="R46" s="140"/>
      <c r="S46" s="141">
        <f t="shared" si="5"/>
        <v>0</v>
      </c>
      <c r="T46" s="140"/>
      <c r="U46" s="140"/>
      <c r="V46" s="141">
        <f t="shared" si="6"/>
        <v>0</v>
      </c>
      <c r="W46" s="140"/>
      <c r="X46" s="140"/>
      <c r="Y46" s="141">
        <f t="shared" si="7"/>
        <v>0</v>
      </c>
      <c r="Z46" s="140"/>
      <c r="AA46" s="140"/>
      <c r="AB46" s="141">
        <f t="shared" si="8"/>
        <v>0</v>
      </c>
      <c r="AC46" s="142"/>
      <c r="AD46" s="143"/>
      <c r="AE46" s="144"/>
      <c r="AF46" s="138"/>
      <c r="AG46" s="138"/>
      <c r="AH46" s="138"/>
      <c r="AI46" s="138"/>
    </row>
    <row r="47" spans="1:35" ht="15.75">
      <c r="A47" s="139">
        <v>53</v>
      </c>
      <c r="B47" s="140">
        <v>33.125</v>
      </c>
      <c r="C47" s="140">
        <v>1.65625</v>
      </c>
      <c r="D47" s="141">
        <f t="shared" si="0"/>
        <v>0.37376586741889983</v>
      </c>
      <c r="E47" s="140">
        <v>58</v>
      </c>
      <c r="F47" s="140">
        <v>1.45</v>
      </c>
      <c r="G47" s="141">
        <f t="shared" si="1"/>
        <v>0.6137566137566137</v>
      </c>
      <c r="H47" s="140">
        <v>2</v>
      </c>
      <c r="I47" s="140">
        <v>0.05</v>
      </c>
      <c r="J47" s="141">
        <f t="shared" si="2"/>
        <v>0.02857142857142857</v>
      </c>
      <c r="K47" s="140">
        <v>21.5</v>
      </c>
      <c r="L47" s="140">
        <v>6.45</v>
      </c>
      <c r="M47" s="141">
        <f t="shared" si="3"/>
        <v>0.2356164383561644</v>
      </c>
      <c r="N47" s="140">
        <v>30</v>
      </c>
      <c r="O47" s="140">
        <v>3</v>
      </c>
      <c r="P47" s="141">
        <f t="shared" si="4"/>
        <v>0.19607843137254902</v>
      </c>
      <c r="Q47" s="140">
        <v>25</v>
      </c>
      <c r="R47" s="140">
        <v>7.5</v>
      </c>
      <c r="S47" s="141">
        <f t="shared" si="5"/>
        <v>0.16556291390728478</v>
      </c>
      <c r="T47" s="140">
        <v>8</v>
      </c>
      <c r="U47" s="140">
        <v>0.8</v>
      </c>
      <c r="V47" s="141">
        <f t="shared" si="6"/>
        <v>0.8</v>
      </c>
      <c r="W47" s="140">
        <v>10</v>
      </c>
      <c r="X47" s="140">
        <v>1</v>
      </c>
      <c r="Y47" s="141">
        <f t="shared" si="7"/>
        <v>1</v>
      </c>
      <c r="Z47" s="140">
        <v>58</v>
      </c>
      <c r="AA47" s="140">
        <v>5.8</v>
      </c>
      <c r="AB47" s="141">
        <f t="shared" si="8"/>
        <v>0.5497630331753555</v>
      </c>
      <c r="AC47" s="142">
        <f aca="true" t="shared" si="12" ref="AC47:AC63">SUM(B47,E47,H47,K47,N47,Q47,T47,W47,Z47)</f>
        <v>245.625</v>
      </c>
      <c r="AD47" s="143">
        <f t="shared" si="11"/>
        <v>27.70625</v>
      </c>
      <c r="AE47" s="144"/>
      <c r="AF47" s="138"/>
      <c r="AG47" s="138"/>
      <c r="AH47" s="138"/>
      <c r="AI47" s="138"/>
    </row>
    <row r="48" spans="1:35" ht="15.75">
      <c r="A48" s="139">
        <v>54</v>
      </c>
      <c r="B48" s="145">
        <v>25.125</v>
      </c>
      <c r="C48" s="145">
        <v>1.25625</v>
      </c>
      <c r="D48" s="141">
        <f t="shared" si="0"/>
        <v>0.2834978843441467</v>
      </c>
      <c r="E48" s="145">
        <v>60</v>
      </c>
      <c r="F48" s="145">
        <v>1.5</v>
      </c>
      <c r="G48" s="141">
        <f t="shared" si="1"/>
        <v>0.6349206349206349</v>
      </c>
      <c r="H48" s="145">
        <v>22</v>
      </c>
      <c r="I48" s="145">
        <v>0.55</v>
      </c>
      <c r="J48" s="141">
        <f t="shared" si="2"/>
        <v>0.3142857142857143</v>
      </c>
      <c r="K48" s="145">
        <v>26.5</v>
      </c>
      <c r="L48" s="145">
        <v>7.95</v>
      </c>
      <c r="M48" s="141">
        <f t="shared" si="3"/>
        <v>0.29041095890410956</v>
      </c>
      <c r="N48" s="145">
        <v>0</v>
      </c>
      <c r="O48" s="145">
        <v>0</v>
      </c>
      <c r="P48" s="141">
        <f t="shared" si="4"/>
        <v>0</v>
      </c>
      <c r="Q48" s="145">
        <v>92</v>
      </c>
      <c r="R48" s="145">
        <v>27.6</v>
      </c>
      <c r="S48" s="141">
        <f t="shared" si="5"/>
        <v>0.609271523178808</v>
      </c>
      <c r="T48" s="145">
        <v>8</v>
      </c>
      <c r="U48" s="145">
        <v>0.8</v>
      </c>
      <c r="V48" s="141">
        <f t="shared" si="6"/>
        <v>0.8</v>
      </c>
      <c r="W48" s="145">
        <v>10</v>
      </c>
      <c r="X48" s="145">
        <v>1</v>
      </c>
      <c r="Y48" s="141">
        <f t="shared" si="7"/>
        <v>1</v>
      </c>
      <c r="Z48" s="145">
        <v>29.5</v>
      </c>
      <c r="AA48" s="145">
        <v>2.95</v>
      </c>
      <c r="AB48" s="141">
        <f t="shared" si="8"/>
        <v>0.2796208530805687</v>
      </c>
      <c r="AC48" s="142">
        <f t="shared" si="12"/>
        <v>273.125</v>
      </c>
      <c r="AD48" s="143">
        <f t="shared" si="11"/>
        <v>43.60625</v>
      </c>
      <c r="AE48" s="144"/>
      <c r="AF48" s="146"/>
      <c r="AG48" s="146"/>
      <c r="AH48" s="146"/>
      <c r="AI48" s="146"/>
    </row>
    <row r="49" spans="1:35" ht="15.75">
      <c r="A49" s="139">
        <v>59</v>
      </c>
      <c r="B49" s="147">
        <v>25.625</v>
      </c>
      <c r="C49" s="147">
        <v>1.28125</v>
      </c>
      <c r="D49" s="141">
        <f t="shared" si="0"/>
        <v>0.28913963328631875</v>
      </c>
      <c r="E49" s="147">
        <v>55</v>
      </c>
      <c r="F49" s="147">
        <v>1.375</v>
      </c>
      <c r="G49" s="141">
        <f t="shared" si="1"/>
        <v>0.582010582010582</v>
      </c>
      <c r="H49" s="147">
        <v>56</v>
      </c>
      <c r="I49" s="147">
        <v>1.4</v>
      </c>
      <c r="J49" s="141">
        <f t="shared" si="2"/>
        <v>0.8</v>
      </c>
      <c r="K49" s="147">
        <v>46.5</v>
      </c>
      <c r="L49" s="147">
        <v>13.95</v>
      </c>
      <c r="M49" s="141">
        <f t="shared" si="3"/>
        <v>0.5095890410958904</v>
      </c>
      <c r="N49" s="147">
        <v>30</v>
      </c>
      <c r="O49" s="147">
        <v>3</v>
      </c>
      <c r="P49" s="141">
        <f t="shared" si="4"/>
        <v>0.19607843137254902</v>
      </c>
      <c r="Q49" s="447">
        <v>110</v>
      </c>
      <c r="R49" s="147">
        <v>30</v>
      </c>
      <c r="S49" s="141">
        <f t="shared" si="5"/>
        <v>0.7284768211920529</v>
      </c>
      <c r="T49" s="147">
        <v>8</v>
      </c>
      <c r="U49" s="147">
        <v>0.8</v>
      </c>
      <c r="V49" s="141">
        <f t="shared" si="6"/>
        <v>0.8</v>
      </c>
      <c r="W49" s="147">
        <v>10</v>
      </c>
      <c r="X49" s="147">
        <v>1</v>
      </c>
      <c r="Y49" s="141">
        <f t="shared" si="7"/>
        <v>1</v>
      </c>
      <c r="Z49" s="147">
        <v>85</v>
      </c>
      <c r="AA49" s="147">
        <v>8.5</v>
      </c>
      <c r="AB49" s="141">
        <f t="shared" si="8"/>
        <v>0.8056872037914692</v>
      </c>
      <c r="AC49" s="142">
        <f t="shared" si="12"/>
        <v>426.125</v>
      </c>
      <c r="AD49" s="143">
        <f t="shared" si="11"/>
        <v>61.30625</v>
      </c>
      <c r="AE49" s="144"/>
      <c r="AF49" s="148"/>
      <c r="AG49" s="148"/>
      <c r="AH49" s="148"/>
      <c r="AI49" s="148"/>
    </row>
    <row r="50" spans="1:35" ht="15.75">
      <c r="A50" s="139">
        <v>61</v>
      </c>
      <c r="B50" s="140">
        <v>8.625</v>
      </c>
      <c r="C50" s="140">
        <v>0.43125</v>
      </c>
      <c r="D50" s="141">
        <f t="shared" si="0"/>
        <v>0.09732016925246827</v>
      </c>
      <c r="E50" s="140">
        <v>46.5</v>
      </c>
      <c r="F50" s="140">
        <v>1.1625</v>
      </c>
      <c r="G50" s="141">
        <f t="shared" si="1"/>
        <v>0.49206349206349204</v>
      </c>
      <c r="H50" s="140">
        <v>6</v>
      </c>
      <c r="I50" s="140">
        <v>0.15</v>
      </c>
      <c r="J50" s="141">
        <f t="shared" si="2"/>
        <v>0.08571428571428572</v>
      </c>
      <c r="K50" s="140">
        <v>59.375</v>
      </c>
      <c r="L50" s="140">
        <v>17.8125</v>
      </c>
      <c r="M50" s="141">
        <f t="shared" si="3"/>
        <v>0.6506849315068494</v>
      </c>
      <c r="N50" s="140">
        <v>20</v>
      </c>
      <c r="O50" s="140">
        <v>2</v>
      </c>
      <c r="P50" s="141">
        <f t="shared" si="4"/>
        <v>0.13071895424836602</v>
      </c>
      <c r="Q50" s="140">
        <v>0</v>
      </c>
      <c r="R50" s="140">
        <v>0</v>
      </c>
      <c r="S50" s="141">
        <f t="shared" si="5"/>
        <v>0</v>
      </c>
      <c r="T50" s="140">
        <v>8</v>
      </c>
      <c r="U50" s="140">
        <v>0.8</v>
      </c>
      <c r="V50" s="141">
        <f t="shared" si="6"/>
        <v>0.8</v>
      </c>
      <c r="W50" s="140">
        <v>10</v>
      </c>
      <c r="X50" s="140">
        <v>1</v>
      </c>
      <c r="Y50" s="141">
        <f t="shared" si="7"/>
        <v>1</v>
      </c>
      <c r="Z50" s="140">
        <v>37.5</v>
      </c>
      <c r="AA50" s="140">
        <v>3.75</v>
      </c>
      <c r="AB50" s="141">
        <f t="shared" si="8"/>
        <v>0.35545023696682465</v>
      </c>
      <c r="AC50" s="142">
        <f t="shared" si="12"/>
        <v>196</v>
      </c>
      <c r="AD50" s="143">
        <f t="shared" si="11"/>
        <v>27.10625</v>
      </c>
      <c r="AE50" s="144"/>
      <c r="AF50" s="138"/>
      <c r="AG50" s="138"/>
      <c r="AH50" s="138"/>
      <c r="AI50" s="138"/>
    </row>
    <row r="51" spans="1:35" ht="15.75">
      <c r="A51" s="139" t="s">
        <v>802</v>
      </c>
      <c r="B51" s="140">
        <v>33</v>
      </c>
      <c r="C51" s="140">
        <v>1.65</v>
      </c>
      <c r="D51" s="141">
        <f t="shared" si="0"/>
        <v>0.3723554301833568</v>
      </c>
      <c r="E51" s="140">
        <v>75.5</v>
      </c>
      <c r="F51" s="140">
        <v>1.8875</v>
      </c>
      <c r="G51" s="141">
        <f t="shared" si="1"/>
        <v>0.798941798941799</v>
      </c>
      <c r="H51" s="140">
        <v>56</v>
      </c>
      <c r="I51" s="140">
        <v>1.4</v>
      </c>
      <c r="J51" s="141">
        <f t="shared" si="2"/>
        <v>0.8</v>
      </c>
      <c r="K51" s="140">
        <v>47.25</v>
      </c>
      <c r="L51" s="140">
        <v>14.175</v>
      </c>
      <c r="M51" s="141">
        <f t="shared" si="3"/>
        <v>0.5178082191780822</v>
      </c>
      <c r="N51" s="140">
        <v>62</v>
      </c>
      <c r="O51" s="140">
        <v>6.2</v>
      </c>
      <c r="P51" s="141">
        <f t="shared" si="4"/>
        <v>0.40522875816993464</v>
      </c>
      <c r="Q51" s="140">
        <v>79</v>
      </c>
      <c r="R51" s="140">
        <v>23.7</v>
      </c>
      <c r="S51" s="141">
        <f t="shared" si="5"/>
        <v>0.5231788079470199</v>
      </c>
      <c r="T51" s="140">
        <v>8</v>
      </c>
      <c r="U51" s="140">
        <v>0.8</v>
      </c>
      <c r="V51" s="141">
        <f t="shared" si="6"/>
        <v>0.8</v>
      </c>
      <c r="W51" s="140">
        <v>10</v>
      </c>
      <c r="X51" s="140">
        <v>1</v>
      </c>
      <c r="Y51" s="141">
        <f t="shared" si="7"/>
        <v>1</v>
      </c>
      <c r="Z51" s="140">
        <v>78.5</v>
      </c>
      <c r="AA51" s="140">
        <v>7.85</v>
      </c>
      <c r="AB51" s="141">
        <f t="shared" si="8"/>
        <v>0.7440758293838863</v>
      </c>
      <c r="AC51" s="142">
        <f t="shared" si="12"/>
        <v>449.25</v>
      </c>
      <c r="AD51" s="143">
        <f t="shared" si="11"/>
        <v>58.6625</v>
      </c>
      <c r="AE51" s="144"/>
      <c r="AF51" s="138"/>
      <c r="AG51" s="138"/>
      <c r="AH51" s="138"/>
      <c r="AI51" s="138"/>
    </row>
    <row r="52" spans="1:35" ht="15.75">
      <c r="A52" s="139" t="s">
        <v>803</v>
      </c>
      <c r="B52" s="140">
        <v>33</v>
      </c>
      <c r="C52" s="140">
        <v>1.65</v>
      </c>
      <c r="D52" s="141">
        <f t="shared" si="0"/>
        <v>0.3723554301833568</v>
      </c>
      <c r="E52" s="140">
        <v>75.5</v>
      </c>
      <c r="F52" s="140">
        <v>1.8875</v>
      </c>
      <c r="G52" s="141">
        <f t="shared" si="1"/>
        <v>0.798941798941799</v>
      </c>
      <c r="H52" s="140">
        <v>56</v>
      </c>
      <c r="I52" s="140">
        <v>1.4</v>
      </c>
      <c r="J52" s="141">
        <f t="shared" si="2"/>
        <v>0.8</v>
      </c>
      <c r="K52" s="140">
        <v>47.25</v>
      </c>
      <c r="L52" s="140">
        <v>14.175</v>
      </c>
      <c r="M52" s="141">
        <f t="shared" si="3"/>
        <v>0.5178082191780822</v>
      </c>
      <c r="N52" s="140">
        <v>62</v>
      </c>
      <c r="O52" s="140">
        <v>6.2</v>
      </c>
      <c r="P52" s="141">
        <f t="shared" si="4"/>
        <v>0.40522875816993464</v>
      </c>
      <c r="Q52" s="140">
        <v>79</v>
      </c>
      <c r="R52" s="140">
        <v>23.7</v>
      </c>
      <c r="S52" s="141">
        <f t="shared" si="5"/>
        <v>0.5231788079470199</v>
      </c>
      <c r="T52" s="140">
        <v>8</v>
      </c>
      <c r="U52" s="140">
        <v>0.8</v>
      </c>
      <c r="V52" s="141">
        <f t="shared" si="6"/>
        <v>0.8</v>
      </c>
      <c r="W52" s="140">
        <v>10</v>
      </c>
      <c r="X52" s="140">
        <v>1</v>
      </c>
      <c r="Y52" s="141">
        <f t="shared" si="7"/>
        <v>1</v>
      </c>
      <c r="Z52" s="140">
        <v>78.5</v>
      </c>
      <c r="AA52" s="140">
        <v>7.85</v>
      </c>
      <c r="AB52" s="141">
        <f t="shared" si="8"/>
        <v>0.7440758293838863</v>
      </c>
      <c r="AC52" s="142">
        <f t="shared" si="12"/>
        <v>449.25</v>
      </c>
      <c r="AD52" s="143">
        <f t="shared" si="11"/>
        <v>58.6625</v>
      </c>
      <c r="AE52" s="144"/>
      <c r="AF52" s="138"/>
      <c r="AG52" s="138"/>
      <c r="AH52" s="138"/>
      <c r="AI52" s="138"/>
    </row>
    <row r="53" spans="1:35" ht="15.75">
      <c r="A53" s="139">
        <v>64</v>
      </c>
      <c r="B53" s="147">
        <v>42</v>
      </c>
      <c r="C53" s="147">
        <v>2.1</v>
      </c>
      <c r="D53" s="141">
        <f t="shared" si="0"/>
        <v>0.47390691114245415</v>
      </c>
      <c r="E53" s="147">
        <v>0</v>
      </c>
      <c r="F53" s="147">
        <v>0</v>
      </c>
      <c r="G53" s="141">
        <f t="shared" si="1"/>
        <v>0</v>
      </c>
      <c r="H53" s="147">
        <v>0</v>
      </c>
      <c r="I53" s="147">
        <v>0</v>
      </c>
      <c r="J53" s="141">
        <f t="shared" si="2"/>
        <v>0</v>
      </c>
      <c r="K53" s="147">
        <v>0</v>
      </c>
      <c r="L53" s="147">
        <v>0</v>
      </c>
      <c r="M53" s="141">
        <f t="shared" si="3"/>
        <v>0</v>
      </c>
      <c r="N53" s="147">
        <v>0</v>
      </c>
      <c r="O53" s="147">
        <v>0</v>
      </c>
      <c r="P53" s="141">
        <f t="shared" si="4"/>
        <v>0</v>
      </c>
      <c r="Q53" s="147">
        <v>0</v>
      </c>
      <c r="R53" s="147">
        <v>0</v>
      </c>
      <c r="S53" s="141">
        <f t="shared" si="5"/>
        <v>0</v>
      </c>
      <c r="T53" s="147">
        <v>0</v>
      </c>
      <c r="U53" s="147">
        <v>0</v>
      </c>
      <c r="V53" s="141">
        <f t="shared" si="6"/>
        <v>0</v>
      </c>
      <c r="W53" s="147">
        <v>0</v>
      </c>
      <c r="X53" s="147">
        <v>0</v>
      </c>
      <c r="Y53" s="141">
        <f t="shared" si="7"/>
        <v>0</v>
      </c>
      <c r="Z53" s="147">
        <v>0</v>
      </c>
      <c r="AA53" s="147">
        <v>0</v>
      </c>
      <c r="AB53" s="141">
        <f t="shared" si="8"/>
        <v>0</v>
      </c>
      <c r="AC53" s="142">
        <f t="shared" si="12"/>
        <v>42</v>
      </c>
      <c r="AD53" s="143">
        <f t="shared" si="11"/>
        <v>2.1</v>
      </c>
      <c r="AE53" s="144"/>
      <c r="AF53" s="148"/>
      <c r="AG53" s="148"/>
      <c r="AH53" s="148"/>
      <c r="AI53" s="148"/>
    </row>
    <row r="54" spans="1:35" ht="15.75">
      <c r="A54" s="139">
        <v>66</v>
      </c>
      <c r="B54" s="151">
        <v>63.5</v>
      </c>
      <c r="C54" s="151">
        <v>3.175</v>
      </c>
      <c r="D54" s="141">
        <f t="shared" si="0"/>
        <v>0.7165021156558533</v>
      </c>
      <c r="E54" s="151">
        <v>67.5</v>
      </c>
      <c r="F54" s="151">
        <v>1.6875</v>
      </c>
      <c r="G54" s="141">
        <f t="shared" si="1"/>
        <v>0.7142857142857143</v>
      </c>
      <c r="H54" s="151">
        <v>16</v>
      </c>
      <c r="I54" s="151">
        <v>0.4</v>
      </c>
      <c r="J54" s="141">
        <f t="shared" si="2"/>
        <v>0.22857142857142856</v>
      </c>
      <c r="K54" s="151">
        <v>70.25</v>
      </c>
      <c r="L54" s="151">
        <v>21.075</v>
      </c>
      <c r="M54" s="141">
        <f t="shared" si="3"/>
        <v>0.7698630136986301</v>
      </c>
      <c r="N54" s="151">
        <v>83</v>
      </c>
      <c r="O54" s="151">
        <v>8.3</v>
      </c>
      <c r="P54" s="141">
        <f t="shared" si="4"/>
        <v>0.5424836601307189</v>
      </c>
      <c r="Q54" s="151">
        <v>97</v>
      </c>
      <c r="R54" s="151">
        <v>29.1</v>
      </c>
      <c r="S54" s="141">
        <f t="shared" si="5"/>
        <v>0.6423841059602649</v>
      </c>
      <c r="T54" s="151">
        <v>10</v>
      </c>
      <c r="U54" s="151">
        <v>1</v>
      </c>
      <c r="V54" s="141">
        <f t="shared" si="6"/>
        <v>1</v>
      </c>
      <c r="W54" s="151">
        <v>10</v>
      </c>
      <c r="X54" s="151">
        <v>1</v>
      </c>
      <c r="Y54" s="141">
        <f t="shared" si="7"/>
        <v>1</v>
      </c>
      <c r="Z54" s="151">
        <v>91.5</v>
      </c>
      <c r="AA54" s="151">
        <v>9.15</v>
      </c>
      <c r="AB54" s="141">
        <f t="shared" si="8"/>
        <v>0.8672985781990521</v>
      </c>
      <c r="AC54" s="142">
        <f t="shared" si="12"/>
        <v>508.75</v>
      </c>
      <c r="AD54" s="143">
        <f t="shared" si="11"/>
        <v>74.88750000000002</v>
      </c>
      <c r="AE54" s="144"/>
      <c r="AF54" s="152"/>
      <c r="AG54" s="152"/>
      <c r="AH54" s="152"/>
      <c r="AI54" s="152"/>
    </row>
    <row r="55" spans="1:35" ht="15.75">
      <c r="A55" s="139">
        <v>69</v>
      </c>
      <c r="B55" s="151">
        <v>10.625</v>
      </c>
      <c r="C55" s="151">
        <v>0.53125</v>
      </c>
      <c r="D55" s="141">
        <f t="shared" si="0"/>
        <v>0.11988716502115655</v>
      </c>
      <c r="E55" s="151">
        <v>62</v>
      </c>
      <c r="F55" s="151">
        <v>1.55</v>
      </c>
      <c r="G55" s="141">
        <f t="shared" si="1"/>
        <v>0.656084656084656</v>
      </c>
      <c r="H55" s="151">
        <v>6</v>
      </c>
      <c r="I55" s="151">
        <v>0.15</v>
      </c>
      <c r="J55" s="141">
        <f t="shared" si="2"/>
        <v>0.08571428571428572</v>
      </c>
      <c r="K55" s="151">
        <v>46.25</v>
      </c>
      <c r="L55" s="151">
        <v>13.875</v>
      </c>
      <c r="M55" s="141">
        <f t="shared" si="3"/>
        <v>0.5068493150684932</v>
      </c>
      <c r="N55" s="151">
        <v>10</v>
      </c>
      <c r="O55" s="151">
        <v>1</v>
      </c>
      <c r="P55" s="141">
        <f t="shared" si="4"/>
        <v>0.06535947712418301</v>
      </c>
      <c r="Q55" s="151">
        <v>79</v>
      </c>
      <c r="R55" s="151">
        <v>23.7</v>
      </c>
      <c r="S55" s="141">
        <f t="shared" si="5"/>
        <v>0.5231788079470199</v>
      </c>
      <c r="T55" s="151">
        <v>8</v>
      </c>
      <c r="U55" s="151">
        <v>0.8</v>
      </c>
      <c r="V55" s="141">
        <f t="shared" si="6"/>
        <v>0.8</v>
      </c>
      <c r="W55" s="151">
        <v>10</v>
      </c>
      <c r="X55" s="151">
        <v>1</v>
      </c>
      <c r="Y55" s="141">
        <f t="shared" si="7"/>
        <v>1</v>
      </c>
      <c r="Z55" s="151">
        <v>37.5</v>
      </c>
      <c r="AA55" s="151">
        <v>3.75</v>
      </c>
      <c r="AB55" s="141">
        <f t="shared" si="8"/>
        <v>0.35545023696682465</v>
      </c>
      <c r="AC55" s="142">
        <f t="shared" si="12"/>
        <v>269.375</v>
      </c>
      <c r="AD55" s="143">
        <f t="shared" si="11"/>
        <v>46.356249999999996</v>
      </c>
      <c r="AE55" s="144"/>
      <c r="AF55" s="152"/>
      <c r="AG55" s="152"/>
      <c r="AH55" s="152"/>
      <c r="AI55" s="152"/>
    </row>
    <row r="56" spans="1:35" ht="15.75">
      <c r="A56" s="139" t="s">
        <v>804</v>
      </c>
      <c r="B56" s="151">
        <v>49</v>
      </c>
      <c r="C56" s="151">
        <v>2.45</v>
      </c>
      <c r="D56" s="141">
        <f t="shared" si="0"/>
        <v>0.5528913963328632</v>
      </c>
      <c r="E56" s="151">
        <v>62.5</v>
      </c>
      <c r="F56" s="151">
        <v>1.5625</v>
      </c>
      <c r="G56" s="141">
        <f t="shared" si="1"/>
        <v>0.6613756613756614</v>
      </c>
      <c r="H56" s="151">
        <v>46</v>
      </c>
      <c r="I56" s="151">
        <v>1.15</v>
      </c>
      <c r="J56" s="141">
        <f t="shared" si="2"/>
        <v>0.6571428571428571</v>
      </c>
      <c r="K56" s="151">
        <v>67.5</v>
      </c>
      <c r="L56" s="151">
        <v>20.25</v>
      </c>
      <c r="M56" s="141">
        <f t="shared" si="3"/>
        <v>0.7397260273972602</v>
      </c>
      <c r="N56" s="151">
        <v>21</v>
      </c>
      <c r="O56" s="151">
        <v>2.1</v>
      </c>
      <c r="P56" s="141">
        <f t="shared" si="4"/>
        <v>0.13725490196078433</v>
      </c>
      <c r="Q56" s="151">
        <v>82</v>
      </c>
      <c r="R56" s="151">
        <v>24.6</v>
      </c>
      <c r="S56" s="141">
        <f t="shared" si="5"/>
        <v>0.543046357615894</v>
      </c>
      <c r="T56" s="151">
        <v>8</v>
      </c>
      <c r="U56" s="151">
        <v>0.8</v>
      </c>
      <c r="V56" s="141">
        <f t="shared" si="6"/>
        <v>0.8</v>
      </c>
      <c r="W56" s="151">
        <v>5</v>
      </c>
      <c r="X56" s="151">
        <v>0.5</v>
      </c>
      <c r="Y56" s="141">
        <f t="shared" si="7"/>
        <v>0.5</v>
      </c>
      <c r="Z56" s="151">
        <v>52.5</v>
      </c>
      <c r="AA56" s="151">
        <v>5.25</v>
      </c>
      <c r="AB56" s="141">
        <f t="shared" si="8"/>
        <v>0.4976303317535545</v>
      </c>
      <c r="AC56" s="142">
        <f t="shared" si="12"/>
        <v>393.5</v>
      </c>
      <c r="AD56" s="143">
        <f t="shared" si="11"/>
        <v>58.6625</v>
      </c>
      <c r="AE56" s="144"/>
      <c r="AF56" s="152"/>
      <c r="AG56" s="152"/>
      <c r="AH56" s="152"/>
      <c r="AI56" s="152"/>
    </row>
    <row r="57" spans="1:35" ht="15.75">
      <c r="A57" s="139" t="s">
        <v>805</v>
      </c>
      <c r="B57" s="147">
        <v>49</v>
      </c>
      <c r="C57" s="147">
        <v>2.45</v>
      </c>
      <c r="D57" s="141">
        <f t="shared" si="0"/>
        <v>0.5528913963328632</v>
      </c>
      <c r="E57" s="147">
        <v>62.5</v>
      </c>
      <c r="F57" s="147">
        <v>1.5625</v>
      </c>
      <c r="G57" s="141">
        <f t="shared" si="1"/>
        <v>0.6613756613756614</v>
      </c>
      <c r="H57" s="147">
        <v>46</v>
      </c>
      <c r="I57" s="147">
        <v>1.15</v>
      </c>
      <c r="J57" s="141">
        <f t="shared" si="2"/>
        <v>0.6571428571428571</v>
      </c>
      <c r="K57" s="147">
        <v>67.5</v>
      </c>
      <c r="L57" s="147">
        <v>20.25</v>
      </c>
      <c r="M57" s="141">
        <f t="shared" si="3"/>
        <v>0.7397260273972602</v>
      </c>
      <c r="N57" s="147">
        <v>21</v>
      </c>
      <c r="O57" s="147">
        <v>2.1</v>
      </c>
      <c r="P57" s="141">
        <f t="shared" si="4"/>
        <v>0.13725490196078433</v>
      </c>
      <c r="Q57" s="147">
        <v>82</v>
      </c>
      <c r="R57" s="147">
        <v>24.6</v>
      </c>
      <c r="S57" s="141">
        <f t="shared" si="5"/>
        <v>0.543046357615894</v>
      </c>
      <c r="T57" s="147">
        <v>8</v>
      </c>
      <c r="U57" s="147">
        <v>0.8</v>
      </c>
      <c r="V57" s="141">
        <f t="shared" si="6"/>
        <v>0.8</v>
      </c>
      <c r="W57" s="147">
        <v>5</v>
      </c>
      <c r="X57" s="147">
        <v>0.5</v>
      </c>
      <c r="Y57" s="141">
        <f t="shared" si="7"/>
        <v>0.5</v>
      </c>
      <c r="Z57" s="147">
        <v>52.5</v>
      </c>
      <c r="AA57" s="147">
        <v>5.25</v>
      </c>
      <c r="AB57" s="141">
        <f t="shared" si="8"/>
        <v>0.4976303317535545</v>
      </c>
      <c r="AC57" s="142">
        <f t="shared" si="12"/>
        <v>393.5</v>
      </c>
      <c r="AD57" s="143">
        <f t="shared" si="11"/>
        <v>58.6625</v>
      </c>
      <c r="AE57" s="144"/>
      <c r="AF57" s="148"/>
      <c r="AG57" s="148"/>
      <c r="AH57" s="148"/>
      <c r="AI57" s="148"/>
    </row>
    <row r="58" spans="1:35" ht="15.75">
      <c r="A58" s="139">
        <v>71</v>
      </c>
      <c r="B58" s="151">
        <v>49</v>
      </c>
      <c r="C58" s="151">
        <v>2.45</v>
      </c>
      <c r="D58" s="141">
        <f t="shared" si="0"/>
        <v>0.5528913963328632</v>
      </c>
      <c r="E58" s="151">
        <v>62.5</v>
      </c>
      <c r="F58" s="151">
        <v>1.5625</v>
      </c>
      <c r="G58" s="141">
        <f t="shared" si="1"/>
        <v>0.6613756613756614</v>
      </c>
      <c r="H58" s="151">
        <v>46</v>
      </c>
      <c r="I58" s="151">
        <v>1.15</v>
      </c>
      <c r="J58" s="141">
        <f t="shared" si="2"/>
        <v>0.6571428571428571</v>
      </c>
      <c r="K58" s="151">
        <v>67.5</v>
      </c>
      <c r="L58" s="151">
        <v>20.25</v>
      </c>
      <c r="M58" s="141">
        <f t="shared" si="3"/>
        <v>0.7397260273972602</v>
      </c>
      <c r="N58" s="151">
        <v>21</v>
      </c>
      <c r="O58" s="151">
        <v>2.1</v>
      </c>
      <c r="P58" s="141">
        <f t="shared" si="4"/>
        <v>0.13725490196078433</v>
      </c>
      <c r="Q58" s="151">
        <v>82</v>
      </c>
      <c r="R58" s="151">
        <v>24.6</v>
      </c>
      <c r="S58" s="141">
        <f t="shared" si="5"/>
        <v>0.543046357615894</v>
      </c>
      <c r="T58" s="151">
        <v>8</v>
      </c>
      <c r="U58" s="151">
        <v>0.8</v>
      </c>
      <c r="V58" s="141">
        <f t="shared" si="6"/>
        <v>0.8</v>
      </c>
      <c r="W58" s="151">
        <v>5</v>
      </c>
      <c r="X58" s="151">
        <v>0.5</v>
      </c>
      <c r="Y58" s="141">
        <f t="shared" si="7"/>
        <v>0.5</v>
      </c>
      <c r="Z58" s="151">
        <v>52.5</v>
      </c>
      <c r="AA58" s="151">
        <v>5.25</v>
      </c>
      <c r="AB58" s="141">
        <f t="shared" si="8"/>
        <v>0.4976303317535545</v>
      </c>
      <c r="AC58" s="142">
        <f t="shared" si="12"/>
        <v>393.5</v>
      </c>
      <c r="AD58" s="143">
        <f t="shared" si="11"/>
        <v>58.6625</v>
      </c>
      <c r="AE58" s="144"/>
      <c r="AF58" s="152"/>
      <c r="AG58" s="152"/>
      <c r="AH58" s="152"/>
      <c r="AI58" s="152"/>
    </row>
    <row r="59" spans="1:35" ht="15.75">
      <c r="A59" s="139">
        <v>72</v>
      </c>
      <c r="B59" s="151">
        <v>58.625</v>
      </c>
      <c r="C59" s="151">
        <v>2.93125</v>
      </c>
      <c r="D59" s="141">
        <f t="shared" si="0"/>
        <v>0.6614950634696756</v>
      </c>
      <c r="E59" s="151">
        <v>57.5</v>
      </c>
      <c r="F59" s="151">
        <v>1.4375</v>
      </c>
      <c r="G59" s="141">
        <f t="shared" si="1"/>
        <v>0.6084656084656085</v>
      </c>
      <c r="H59" s="151">
        <v>2</v>
      </c>
      <c r="I59" s="151">
        <v>0.05</v>
      </c>
      <c r="J59" s="141">
        <f t="shared" si="2"/>
        <v>0.02857142857142857</v>
      </c>
      <c r="K59" s="151">
        <v>26.5</v>
      </c>
      <c r="L59" s="151">
        <v>7.95</v>
      </c>
      <c r="M59" s="141">
        <f t="shared" si="3"/>
        <v>0.29041095890410956</v>
      </c>
      <c r="N59" s="151">
        <v>20</v>
      </c>
      <c r="O59" s="151">
        <v>2</v>
      </c>
      <c r="P59" s="141">
        <f t="shared" si="4"/>
        <v>0.13071895424836602</v>
      </c>
      <c r="Q59" s="151">
        <v>7</v>
      </c>
      <c r="R59" s="151">
        <v>2.1</v>
      </c>
      <c r="S59" s="141">
        <f t="shared" si="5"/>
        <v>0.046357615894039736</v>
      </c>
      <c r="T59" s="151">
        <v>8</v>
      </c>
      <c r="U59" s="151">
        <v>0.8</v>
      </c>
      <c r="V59" s="141">
        <f t="shared" si="6"/>
        <v>0.8</v>
      </c>
      <c r="W59" s="151">
        <v>10</v>
      </c>
      <c r="X59" s="151">
        <v>1</v>
      </c>
      <c r="Y59" s="141">
        <f t="shared" si="7"/>
        <v>1</v>
      </c>
      <c r="Z59" s="151">
        <v>83.5</v>
      </c>
      <c r="AA59" s="151">
        <v>8.35</v>
      </c>
      <c r="AB59" s="141">
        <f t="shared" si="8"/>
        <v>0.7914691943127962</v>
      </c>
      <c r="AC59" s="142">
        <f t="shared" si="12"/>
        <v>273.125</v>
      </c>
      <c r="AD59" s="143">
        <f t="shared" si="11"/>
        <v>26.61875</v>
      </c>
      <c r="AE59" s="144"/>
      <c r="AF59" s="152"/>
      <c r="AG59" s="152"/>
      <c r="AH59" s="152"/>
      <c r="AI59" s="152"/>
    </row>
    <row r="60" spans="1:35" ht="15.75">
      <c r="A60" s="139">
        <v>73</v>
      </c>
      <c r="B60" s="151">
        <v>44.125</v>
      </c>
      <c r="C60" s="151">
        <v>2.20625</v>
      </c>
      <c r="D60" s="141">
        <f t="shared" si="0"/>
        <v>0.4978843441466855</v>
      </c>
      <c r="E60" s="151">
        <v>67.5</v>
      </c>
      <c r="F60" s="151">
        <v>1.6875</v>
      </c>
      <c r="G60" s="141">
        <f t="shared" si="1"/>
        <v>0.7142857142857143</v>
      </c>
      <c r="H60" s="151">
        <v>46</v>
      </c>
      <c r="I60" s="151">
        <v>1.15</v>
      </c>
      <c r="J60" s="141">
        <f t="shared" si="2"/>
        <v>0.6571428571428571</v>
      </c>
      <c r="K60" s="151">
        <v>6.5</v>
      </c>
      <c r="L60" s="151">
        <v>1.95</v>
      </c>
      <c r="M60" s="141">
        <f t="shared" si="3"/>
        <v>0.07123287671232877</v>
      </c>
      <c r="N60" s="151">
        <v>10</v>
      </c>
      <c r="O60" s="151">
        <v>1</v>
      </c>
      <c r="P60" s="141">
        <f t="shared" si="4"/>
        <v>0.06535947712418301</v>
      </c>
      <c r="Q60" s="151">
        <v>74</v>
      </c>
      <c r="R60" s="151">
        <v>22.2</v>
      </c>
      <c r="S60" s="141">
        <f t="shared" si="5"/>
        <v>0.4900662251655629</v>
      </c>
      <c r="T60" s="151">
        <v>8</v>
      </c>
      <c r="U60" s="151">
        <v>0.8</v>
      </c>
      <c r="V60" s="141">
        <f t="shared" si="6"/>
        <v>0.8</v>
      </c>
      <c r="W60" s="151">
        <v>10</v>
      </c>
      <c r="X60" s="151">
        <v>1</v>
      </c>
      <c r="Y60" s="141">
        <f t="shared" si="7"/>
        <v>1</v>
      </c>
      <c r="Z60" s="151">
        <v>80.5</v>
      </c>
      <c r="AA60" s="151">
        <v>8.05</v>
      </c>
      <c r="AB60" s="141">
        <f t="shared" si="8"/>
        <v>0.7630331753554502</v>
      </c>
      <c r="AC60" s="142">
        <f t="shared" si="12"/>
        <v>346.625</v>
      </c>
      <c r="AD60" s="143">
        <f t="shared" si="11"/>
        <v>40.04375</v>
      </c>
      <c r="AE60" s="144"/>
      <c r="AF60" s="152"/>
      <c r="AG60" s="152"/>
      <c r="AH60" s="152"/>
      <c r="AI60" s="152"/>
    </row>
    <row r="61" spans="1:35" ht="15.75">
      <c r="A61" s="139">
        <v>74</v>
      </c>
      <c r="B61" s="145">
        <v>55.625</v>
      </c>
      <c r="C61" s="145">
        <v>2.78125</v>
      </c>
      <c r="D61" s="141">
        <f t="shared" si="0"/>
        <v>0.6276445698166432</v>
      </c>
      <c r="E61" s="145">
        <v>58</v>
      </c>
      <c r="F61" s="145">
        <v>1.45</v>
      </c>
      <c r="G61" s="141">
        <f t="shared" si="1"/>
        <v>0.6137566137566137</v>
      </c>
      <c r="H61" s="145">
        <v>6</v>
      </c>
      <c r="I61" s="145">
        <v>0.15</v>
      </c>
      <c r="J61" s="141">
        <f t="shared" si="2"/>
        <v>0.08571428571428572</v>
      </c>
      <c r="K61" s="145">
        <v>26.75</v>
      </c>
      <c r="L61" s="145">
        <v>8.025</v>
      </c>
      <c r="M61" s="141">
        <f t="shared" si="3"/>
        <v>0.29315068493150687</v>
      </c>
      <c r="N61" s="145">
        <v>51</v>
      </c>
      <c r="O61" s="145">
        <v>5.1</v>
      </c>
      <c r="P61" s="141">
        <f t="shared" si="4"/>
        <v>0.3333333333333333</v>
      </c>
      <c r="Q61" s="145">
        <v>92</v>
      </c>
      <c r="R61" s="145">
        <v>27.6</v>
      </c>
      <c r="S61" s="141">
        <f t="shared" si="5"/>
        <v>0.609271523178808</v>
      </c>
      <c r="T61" s="145">
        <v>10</v>
      </c>
      <c r="U61" s="145">
        <v>1</v>
      </c>
      <c r="V61" s="141">
        <f t="shared" si="6"/>
        <v>1</v>
      </c>
      <c r="W61" s="145">
        <v>10</v>
      </c>
      <c r="X61" s="145">
        <v>1</v>
      </c>
      <c r="Y61" s="141">
        <f t="shared" si="7"/>
        <v>1</v>
      </c>
      <c r="Z61" s="145">
        <v>53</v>
      </c>
      <c r="AA61" s="145">
        <v>5.3</v>
      </c>
      <c r="AB61" s="141">
        <f t="shared" si="8"/>
        <v>0.5023696682464455</v>
      </c>
      <c r="AC61" s="142">
        <f t="shared" si="12"/>
        <v>362.375</v>
      </c>
      <c r="AD61" s="143">
        <f t="shared" si="11"/>
        <v>52.40625</v>
      </c>
      <c r="AE61" s="144"/>
      <c r="AF61" s="146"/>
      <c r="AG61" s="146"/>
      <c r="AH61" s="146"/>
      <c r="AI61" s="146"/>
    </row>
    <row r="62" spans="1:35" ht="15.75">
      <c r="A62" s="139">
        <v>76</v>
      </c>
      <c r="B62" s="151">
        <v>46.6</v>
      </c>
      <c r="C62" s="151">
        <v>2.33</v>
      </c>
      <c r="D62" s="141">
        <f t="shared" si="0"/>
        <v>0.5258110014104372</v>
      </c>
      <c r="E62" s="151">
        <v>62.5</v>
      </c>
      <c r="F62" s="151">
        <v>1.5625</v>
      </c>
      <c r="G62" s="141">
        <f t="shared" si="1"/>
        <v>0.6613756613756614</v>
      </c>
      <c r="H62" s="151">
        <v>46</v>
      </c>
      <c r="I62" s="151">
        <v>1.15</v>
      </c>
      <c r="J62" s="141">
        <f t="shared" si="2"/>
        <v>0.6571428571428571</v>
      </c>
      <c r="K62" s="151">
        <v>16</v>
      </c>
      <c r="L62" s="151">
        <v>4.8</v>
      </c>
      <c r="M62" s="141">
        <f t="shared" si="3"/>
        <v>0.17534246575342466</v>
      </c>
      <c r="N62" s="151">
        <v>41</v>
      </c>
      <c r="O62" s="151">
        <v>4.1</v>
      </c>
      <c r="P62" s="141">
        <f t="shared" si="4"/>
        <v>0.2679738562091503</v>
      </c>
      <c r="Q62" s="445">
        <v>115</v>
      </c>
      <c r="R62" s="151">
        <v>30</v>
      </c>
      <c r="S62" s="141">
        <f t="shared" si="5"/>
        <v>0.7615894039735099</v>
      </c>
      <c r="T62" s="151">
        <v>8</v>
      </c>
      <c r="U62" s="151">
        <v>0.8</v>
      </c>
      <c r="V62" s="141">
        <f t="shared" si="6"/>
        <v>0.8</v>
      </c>
      <c r="W62" s="151">
        <v>5</v>
      </c>
      <c r="X62" s="151">
        <v>0.5</v>
      </c>
      <c r="Y62" s="141">
        <f t="shared" si="7"/>
        <v>0.5</v>
      </c>
      <c r="Z62" s="151">
        <v>62.5</v>
      </c>
      <c r="AA62" s="151">
        <v>6.25</v>
      </c>
      <c r="AB62" s="141">
        <f t="shared" si="8"/>
        <v>0.5924170616113744</v>
      </c>
      <c r="AC62" s="142">
        <f t="shared" si="12"/>
        <v>402.6</v>
      </c>
      <c r="AD62" s="143">
        <f t="shared" si="11"/>
        <v>51.4925</v>
      </c>
      <c r="AE62" s="144"/>
      <c r="AF62" s="152"/>
      <c r="AG62" s="152"/>
      <c r="AH62" s="152"/>
      <c r="AI62" s="152"/>
    </row>
    <row r="63" spans="1:35" ht="15.75">
      <c r="A63" s="139">
        <v>77</v>
      </c>
      <c r="B63" s="151">
        <v>25.625</v>
      </c>
      <c r="C63" s="151">
        <v>1.28125</v>
      </c>
      <c r="D63" s="141">
        <f t="shared" si="0"/>
        <v>0.28913963328631875</v>
      </c>
      <c r="E63" s="151">
        <v>52.5</v>
      </c>
      <c r="F63" s="151">
        <v>1.3125</v>
      </c>
      <c r="G63" s="141">
        <f t="shared" si="1"/>
        <v>0.5555555555555556</v>
      </c>
      <c r="H63" s="151">
        <v>2</v>
      </c>
      <c r="I63" s="151">
        <v>0.05</v>
      </c>
      <c r="J63" s="141">
        <f t="shared" si="2"/>
        <v>0.02857142857142857</v>
      </c>
      <c r="K63" s="151">
        <v>6.5</v>
      </c>
      <c r="L63" s="151">
        <v>1.95</v>
      </c>
      <c r="M63" s="141">
        <f t="shared" si="3"/>
        <v>0.07123287671232877</v>
      </c>
      <c r="N63" s="151">
        <v>21</v>
      </c>
      <c r="O63" s="151">
        <v>2.1</v>
      </c>
      <c r="P63" s="141">
        <f t="shared" si="4"/>
        <v>0.13725490196078433</v>
      </c>
      <c r="Q63" s="151">
        <v>97</v>
      </c>
      <c r="R63" s="151">
        <v>29.1</v>
      </c>
      <c r="S63" s="141">
        <f t="shared" si="5"/>
        <v>0.6423841059602649</v>
      </c>
      <c r="T63" s="151">
        <v>8</v>
      </c>
      <c r="U63" s="151">
        <v>0.8</v>
      </c>
      <c r="V63" s="141">
        <f t="shared" si="6"/>
        <v>0.8</v>
      </c>
      <c r="W63" s="151">
        <v>10</v>
      </c>
      <c r="X63" s="151">
        <v>1</v>
      </c>
      <c r="Y63" s="141">
        <f t="shared" si="7"/>
        <v>1</v>
      </c>
      <c r="Z63" s="151">
        <v>80.5</v>
      </c>
      <c r="AA63" s="151">
        <v>8.05</v>
      </c>
      <c r="AB63" s="141">
        <f t="shared" si="8"/>
        <v>0.7630331753554502</v>
      </c>
      <c r="AC63" s="142">
        <f t="shared" si="12"/>
        <v>303.125</v>
      </c>
      <c r="AD63" s="143">
        <f t="shared" si="11"/>
        <v>45.64375</v>
      </c>
      <c r="AE63" s="144"/>
      <c r="AF63" s="152"/>
      <c r="AG63" s="152"/>
      <c r="AH63" s="152"/>
      <c r="AI63" s="152"/>
    </row>
    <row r="64" spans="1:35" ht="15.75">
      <c r="A64" s="139">
        <v>78</v>
      </c>
      <c r="B64" s="151"/>
      <c r="C64" s="151"/>
      <c r="D64" s="141">
        <f t="shared" si="0"/>
        <v>0</v>
      </c>
      <c r="E64" s="151"/>
      <c r="F64" s="151"/>
      <c r="G64" s="141">
        <f t="shared" si="1"/>
        <v>0</v>
      </c>
      <c r="H64" s="151"/>
      <c r="I64" s="151"/>
      <c r="J64" s="141">
        <f t="shared" si="2"/>
        <v>0</v>
      </c>
      <c r="K64" s="151"/>
      <c r="L64" s="151"/>
      <c r="M64" s="141">
        <f t="shared" si="3"/>
        <v>0</v>
      </c>
      <c r="N64" s="151"/>
      <c r="O64" s="151"/>
      <c r="P64" s="141">
        <f t="shared" si="4"/>
        <v>0</v>
      </c>
      <c r="Q64" s="151"/>
      <c r="R64" s="151"/>
      <c r="S64" s="141">
        <f t="shared" si="5"/>
        <v>0</v>
      </c>
      <c r="T64" s="151"/>
      <c r="U64" s="151"/>
      <c r="V64" s="141">
        <f t="shared" si="6"/>
        <v>0</v>
      </c>
      <c r="W64" s="151"/>
      <c r="X64" s="151"/>
      <c r="Y64" s="141">
        <f t="shared" si="7"/>
        <v>0</v>
      </c>
      <c r="Z64" s="151"/>
      <c r="AA64" s="151"/>
      <c r="AB64" s="141">
        <f t="shared" si="8"/>
        <v>0</v>
      </c>
      <c r="AC64" s="142"/>
      <c r="AD64" s="143"/>
      <c r="AE64" s="144"/>
      <c r="AF64" s="152"/>
      <c r="AG64" s="152"/>
      <c r="AH64" s="152"/>
      <c r="AI64" s="152"/>
    </row>
    <row r="65" spans="1:35" ht="15.75">
      <c r="A65" s="139" t="s">
        <v>817</v>
      </c>
      <c r="B65" s="151">
        <v>70.5</v>
      </c>
      <c r="C65" s="151">
        <v>3.525</v>
      </c>
      <c r="D65" s="141">
        <f t="shared" si="0"/>
        <v>0.7954866008462623</v>
      </c>
      <c r="E65" s="151">
        <v>77.5</v>
      </c>
      <c r="F65" s="151">
        <v>1.9375</v>
      </c>
      <c r="G65" s="141">
        <f t="shared" si="1"/>
        <v>0.8201058201058201</v>
      </c>
      <c r="H65" s="151">
        <v>6</v>
      </c>
      <c r="I65" s="151">
        <v>0.15</v>
      </c>
      <c r="J65" s="141">
        <f t="shared" si="2"/>
        <v>0.08571428571428572</v>
      </c>
      <c r="K65" s="151">
        <v>6.5</v>
      </c>
      <c r="L65" s="151">
        <v>1.95</v>
      </c>
      <c r="M65" s="141">
        <f t="shared" si="3"/>
        <v>0.07123287671232877</v>
      </c>
      <c r="N65" s="151">
        <v>20</v>
      </c>
      <c r="O65" s="151">
        <v>2</v>
      </c>
      <c r="P65" s="141">
        <f t="shared" si="4"/>
        <v>0.13071895424836602</v>
      </c>
      <c r="Q65" s="151">
        <v>2</v>
      </c>
      <c r="R65" s="151">
        <v>0.6</v>
      </c>
      <c r="S65" s="141">
        <f t="shared" si="5"/>
        <v>0.013245033112582781</v>
      </c>
      <c r="T65" s="151">
        <v>3</v>
      </c>
      <c r="U65" s="151">
        <v>0.3</v>
      </c>
      <c r="V65" s="141">
        <f t="shared" si="6"/>
        <v>0.3</v>
      </c>
      <c r="W65" s="151">
        <v>5</v>
      </c>
      <c r="X65" s="151">
        <v>0.5</v>
      </c>
      <c r="Y65" s="141">
        <f t="shared" si="7"/>
        <v>0.5</v>
      </c>
      <c r="Z65" s="151">
        <v>75.5</v>
      </c>
      <c r="AA65" s="151">
        <v>7.55</v>
      </c>
      <c r="AB65" s="141">
        <f t="shared" si="8"/>
        <v>0.7156398104265402</v>
      </c>
      <c r="AC65" s="142">
        <f aca="true" t="shared" si="13" ref="AC65:AC72">SUM(B65,E65,H65,K65,N65,Q65,T65,W65,Z65)</f>
        <v>266</v>
      </c>
      <c r="AD65" s="143">
        <f t="shared" si="11"/>
        <v>18.5125</v>
      </c>
      <c r="AE65" s="144"/>
      <c r="AF65" s="152"/>
      <c r="AG65" s="152"/>
      <c r="AH65" s="152"/>
      <c r="AI65" s="152"/>
    </row>
    <row r="66" spans="1:35" ht="15.75">
      <c r="A66" s="139" t="s">
        <v>818</v>
      </c>
      <c r="B66" s="147">
        <v>70.5</v>
      </c>
      <c r="C66" s="147">
        <v>3.525</v>
      </c>
      <c r="D66" s="141">
        <f t="shared" si="0"/>
        <v>0.7954866008462623</v>
      </c>
      <c r="E66" s="147">
        <v>77.5</v>
      </c>
      <c r="F66" s="147">
        <v>1.9375</v>
      </c>
      <c r="G66" s="141">
        <f t="shared" si="1"/>
        <v>0.8201058201058201</v>
      </c>
      <c r="H66" s="147">
        <v>6</v>
      </c>
      <c r="I66" s="147">
        <v>0.15</v>
      </c>
      <c r="J66" s="141">
        <f t="shared" si="2"/>
        <v>0.08571428571428572</v>
      </c>
      <c r="K66" s="147">
        <v>6.5</v>
      </c>
      <c r="L66" s="147">
        <v>1.95</v>
      </c>
      <c r="M66" s="141">
        <f t="shared" si="3"/>
        <v>0.07123287671232877</v>
      </c>
      <c r="N66" s="147">
        <v>20</v>
      </c>
      <c r="O66" s="147">
        <v>2</v>
      </c>
      <c r="P66" s="141">
        <f t="shared" si="4"/>
        <v>0.13071895424836602</v>
      </c>
      <c r="Q66" s="147">
        <v>2</v>
      </c>
      <c r="R66" s="147">
        <v>0.6</v>
      </c>
      <c r="S66" s="141">
        <f t="shared" si="5"/>
        <v>0.013245033112582781</v>
      </c>
      <c r="T66" s="147">
        <v>3</v>
      </c>
      <c r="U66" s="147">
        <v>0.3</v>
      </c>
      <c r="V66" s="141">
        <f t="shared" si="6"/>
        <v>0.3</v>
      </c>
      <c r="W66" s="147">
        <v>5</v>
      </c>
      <c r="X66" s="147">
        <v>0.5</v>
      </c>
      <c r="Y66" s="141">
        <f t="shared" si="7"/>
        <v>0.5</v>
      </c>
      <c r="Z66" s="147">
        <v>55.5</v>
      </c>
      <c r="AA66" s="147">
        <v>5.55</v>
      </c>
      <c r="AB66" s="141">
        <f t="shared" si="8"/>
        <v>0.5260663507109005</v>
      </c>
      <c r="AC66" s="142">
        <f t="shared" si="13"/>
        <v>246</v>
      </c>
      <c r="AD66" s="143">
        <f t="shared" si="11"/>
        <v>16.5125</v>
      </c>
      <c r="AE66" s="144"/>
      <c r="AF66" s="148"/>
      <c r="AG66" s="148"/>
      <c r="AH66" s="148"/>
      <c r="AI66" s="148"/>
    </row>
    <row r="67" spans="1:35" ht="15.75">
      <c r="A67" s="139">
        <v>82</v>
      </c>
      <c r="B67" s="151">
        <v>41.125</v>
      </c>
      <c r="C67" s="151">
        <v>2.05625</v>
      </c>
      <c r="D67" s="141">
        <f t="shared" si="0"/>
        <v>0.46403385049365303</v>
      </c>
      <c r="E67" s="151">
        <v>59</v>
      </c>
      <c r="F67" s="151">
        <v>1.475</v>
      </c>
      <c r="G67" s="141">
        <f t="shared" si="1"/>
        <v>0.6243386243386243</v>
      </c>
      <c r="H67" s="151">
        <v>56</v>
      </c>
      <c r="I67" s="151">
        <v>1.4</v>
      </c>
      <c r="J67" s="141">
        <f t="shared" si="2"/>
        <v>0.8</v>
      </c>
      <c r="K67" s="151">
        <v>5</v>
      </c>
      <c r="L67" s="151">
        <v>1.5</v>
      </c>
      <c r="M67" s="141">
        <f t="shared" si="3"/>
        <v>0.0547945205479452</v>
      </c>
      <c r="N67" s="151">
        <v>0</v>
      </c>
      <c r="O67" s="151">
        <v>0</v>
      </c>
      <c r="P67" s="141">
        <f t="shared" si="4"/>
        <v>0</v>
      </c>
      <c r="Q67" s="151">
        <v>79</v>
      </c>
      <c r="R67" s="151">
        <v>23.7</v>
      </c>
      <c r="S67" s="141">
        <f t="shared" si="5"/>
        <v>0.5231788079470199</v>
      </c>
      <c r="T67" s="151">
        <v>8</v>
      </c>
      <c r="U67" s="151">
        <v>0.8</v>
      </c>
      <c r="V67" s="141">
        <f t="shared" si="6"/>
        <v>0.8</v>
      </c>
      <c r="W67" s="151">
        <v>10</v>
      </c>
      <c r="X67" s="151">
        <v>1</v>
      </c>
      <c r="Y67" s="141">
        <f t="shared" si="7"/>
        <v>1</v>
      </c>
      <c r="Z67" s="151">
        <v>38.5</v>
      </c>
      <c r="AA67" s="151">
        <v>3.85</v>
      </c>
      <c r="AB67" s="141">
        <f t="shared" si="8"/>
        <v>0.36492890995260663</v>
      </c>
      <c r="AC67" s="142">
        <f t="shared" si="13"/>
        <v>296.625</v>
      </c>
      <c r="AD67" s="143">
        <f t="shared" si="11"/>
        <v>35.78125</v>
      </c>
      <c r="AE67" s="144"/>
      <c r="AF67" s="152"/>
      <c r="AG67" s="152"/>
      <c r="AH67" s="152"/>
      <c r="AI67" s="152"/>
    </row>
    <row r="68" spans="1:35" ht="15.75">
      <c r="A68" s="139" t="s">
        <v>806</v>
      </c>
      <c r="B68" s="151">
        <v>45.5</v>
      </c>
      <c r="C68" s="151">
        <v>2.275</v>
      </c>
      <c r="D68" s="141">
        <f t="shared" si="0"/>
        <v>0.5133991537376587</v>
      </c>
      <c r="E68" s="151">
        <v>70.5</v>
      </c>
      <c r="F68" s="151">
        <v>1.7625</v>
      </c>
      <c r="G68" s="141">
        <f t="shared" si="1"/>
        <v>0.746031746031746</v>
      </c>
      <c r="H68" s="151">
        <v>6</v>
      </c>
      <c r="I68" s="151">
        <v>0.15</v>
      </c>
      <c r="J68" s="141">
        <f t="shared" si="2"/>
        <v>0.08571428571428572</v>
      </c>
      <c r="K68" s="151">
        <v>23</v>
      </c>
      <c r="L68" s="151">
        <v>6.9</v>
      </c>
      <c r="M68" s="141">
        <f t="shared" si="3"/>
        <v>0.25205479452054796</v>
      </c>
      <c r="N68" s="151">
        <v>20</v>
      </c>
      <c r="O68" s="151">
        <v>2</v>
      </c>
      <c r="P68" s="141">
        <f t="shared" si="4"/>
        <v>0.13071895424836602</v>
      </c>
      <c r="Q68" s="151">
        <v>0</v>
      </c>
      <c r="R68" s="151">
        <v>0</v>
      </c>
      <c r="S68" s="141">
        <f t="shared" si="5"/>
        <v>0</v>
      </c>
      <c r="T68" s="151">
        <v>8</v>
      </c>
      <c r="U68" s="151">
        <v>0.8</v>
      </c>
      <c r="V68" s="141">
        <f t="shared" si="6"/>
        <v>0.8</v>
      </c>
      <c r="W68" s="151">
        <v>10</v>
      </c>
      <c r="X68" s="151">
        <v>1</v>
      </c>
      <c r="Y68" s="141">
        <f t="shared" si="7"/>
        <v>1</v>
      </c>
      <c r="Z68" s="151">
        <v>55.5</v>
      </c>
      <c r="AA68" s="151">
        <v>5.55</v>
      </c>
      <c r="AB68" s="141">
        <f t="shared" si="8"/>
        <v>0.5260663507109005</v>
      </c>
      <c r="AC68" s="142">
        <f t="shared" si="13"/>
        <v>238.5</v>
      </c>
      <c r="AD68" s="143">
        <f t="shared" si="11"/>
        <v>20.4375</v>
      </c>
      <c r="AE68" s="144"/>
      <c r="AF68" s="152"/>
      <c r="AG68" s="152"/>
      <c r="AH68" s="152"/>
      <c r="AI68" s="152"/>
    </row>
    <row r="69" spans="1:35" ht="15.75">
      <c r="A69" s="139" t="s">
        <v>807</v>
      </c>
      <c r="B69" s="147">
        <v>45.5</v>
      </c>
      <c r="C69" s="147">
        <v>2.275</v>
      </c>
      <c r="D69" s="141">
        <f t="shared" si="0"/>
        <v>0.5133991537376587</v>
      </c>
      <c r="E69" s="147">
        <v>70.5</v>
      </c>
      <c r="F69" s="147">
        <v>1.7625</v>
      </c>
      <c r="G69" s="141">
        <f t="shared" si="1"/>
        <v>0.746031746031746</v>
      </c>
      <c r="H69" s="147">
        <v>6</v>
      </c>
      <c r="I69" s="147">
        <v>0.15</v>
      </c>
      <c r="J69" s="141">
        <f t="shared" si="2"/>
        <v>0.08571428571428572</v>
      </c>
      <c r="K69" s="147">
        <v>23</v>
      </c>
      <c r="L69" s="147">
        <v>6.9</v>
      </c>
      <c r="M69" s="141">
        <f t="shared" si="3"/>
        <v>0.25205479452054796</v>
      </c>
      <c r="N69" s="147">
        <v>20</v>
      </c>
      <c r="O69" s="147">
        <v>2</v>
      </c>
      <c r="P69" s="141">
        <f t="shared" si="4"/>
        <v>0.13071895424836602</v>
      </c>
      <c r="Q69" s="147">
        <v>0</v>
      </c>
      <c r="R69" s="147">
        <v>0</v>
      </c>
      <c r="S69" s="141">
        <f t="shared" si="5"/>
        <v>0</v>
      </c>
      <c r="T69" s="147">
        <v>8</v>
      </c>
      <c r="U69" s="147">
        <v>0.8</v>
      </c>
      <c r="V69" s="141">
        <f t="shared" si="6"/>
        <v>0.8</v>
      </c>
      <c r="W69" s="147">
        <v>10</v>
      </c>
      <c r="X69" s="147">
        <v>1</v>
      </c>
      <c r="Y69" s="141">
        <f t="shared" si="7"/>
        <v>1</v>
      </c>
      <c r="Z69" s="147">
        <v>75.5</v>
      </c>
      <c r="AA69" s="147">
        <v>7.55</v>
      </c>
      <c r="AB69" s="141">
        <f t="shared" si="8"/>
        <v>0.7156398104265402</v>
      </c>
      <c r="AC69" s="142">
        <f t="shared" si="13"/>
        <v>258.5</v>
      </c>
      <c r="AD69" s="143">
        <f t="shared" si="11"/>
        <v>22.4375</v>
      </c>
      <c r="AE69" s="144"/>
      <c r="AF69" s="148"/>
      <c r="AG69" s="148"/>
      <c r="AH69" s="148"/>
      <c r="AI69" s="148"/>
    </row>
    <row r="70" spans="1:35" ht="15.75">
      <c r="A70" s="139">
        <v>87</v>
      </c>
      <c r="B70" s="151">
        <v>13.625</v>
      </c>
      <c r="C70" s="151">
        <v>0.68125</v>
      </c>
      <c r="D70" s="141">
        <f t="shared" si="0"/>
        <v>0.153737658674189</v>
      </c>
      <c r="E70" s="151">
        <v>45.5</v>
      </c>
      <c r="F70" s="151">
        <v>1.1375</v>
      </c>
      <c r="G70" s="141">
        <f t="shared" si="1"/>
        <v>0.48148148148148145</v>
      </c>
      <c r="H70" s="151">
        <v>6</v>
      </c>
      <c r="I70" s="151">
        <v>0.15</v>
      </c>
      <c r="J70" s="141">
        <f t="shared" si="2"/>
        <v>0.08571428571428572</v>
      </c>
      <c r="K70" s="151">
        <v>6.5</v>
      </c>
      <c r="L70" s="151">
        <v>1.95</v>
      </c>
      <c r="M70" s="141">
        <f t="shared" si="3"/>
        <v>0.07123287671232877</v>
      </c>
      <c r="N70" s="151">
        <v>30</v>
      </c>
      <c r="O70" s="151">
        <v>3</v>
      </c>
      <c r="P70" s="141">
        <f t="shared" si="4"/>
        <v>0.19607843137254902</v>
      </c>
      <c r="Q70" s="151">
        <v>74</v>
      </c>
      <c r="R70" s="151">
        <v>22.2</v>
      </c>
      <c r="S70" s="141">
        <f t="shared" si="5"/>
        <v>0.4900662251655629</v>
      </c>
      <c r="T70" s="151">
        <v>8</v>
      </c>
      <c r="U70" s="151">
        <v>0.8</v>
      </c>
      <c r="V70" s="141">
        <f t="shared" si="6"/>
        <v>0.8</v>
      </c>
      <c r="W70" s="151">
        <v>10</v>
      </c>
      <c r="X70" s="151">
        <v>1</v>
      </c>
      <c r="Y70" s="141">
        <f t="shared" si="7"/>
        <v>1</v>
      </c>
      <c r="Z70" s="151">
        <v>76.5</v>
      </c>
      <c r="AA70" s="151">
        <v>7.65</v>
      </c>
      <c r="AB70" s="141">
        <f t="shared" si="8"/>
        <v>0.7251184834123223</v>
      </c>
      <c r="AC70" s="142">
        <f t="shared" si="13"/>
        <v>270.125</v>
      </c>
      <c r="AD70" s="143">
        <f t="shared" si="11"/>
        <v>38.56875</v>
      </c>
      <c r="AE70" s="144"/>
      <c r="AF70" s="152"/>
      <c r="AG70" s="152"/>
      <c r="AH70" s="152"/>
      <c r="AI70" s="152"/>
    </row>
    <row r="71" spans="1:35" ht="15.75">
      <c r="A71" s="139">
        <v>88</v>
      </c>
      <c r="B71" s="151">
        <v>45.625</v>
      </c>
      <c r="C71" s="151">
        <v>2.28125</v>
      </c>
      <c r="D71" s="141">
        <f t="shared" si="0"/>
        <v>0.5148095909732017</v>
      </c>
      <c r="E71" s="151">
        <v>60</v>
      </c>
      <c r="F71" s="151">
        <v>1.5</v>
      </c>
      <c r="G71" s="141">
        <f t="shared" si="1"/>
        <v>0.6349206349206349</v>
      </c>
      <c r="H71" s="151">
        <v>46</v>
      </c>
      <c r="I71" s="151">
        <v>1.15</v>
      </c>
      <c r="J71" s="141">
        <f t="shared" si="2"/>
        <v>0.6571428571428571</v>
      </c>
      <c r="K71" s="151">
        <v>26</v>
      </c>
      <c r="L71" s="151">
        <v>7.8</v>
      </c>
      <c r="M71" s="141">
        <f t="shared" si="3"/>
        <v>0.28493150684931506</v>
      </c>
      <c r="N71" s="151">
        <v>0</v>
      </c>
      <c r="O71" s="151">
        <v>0</v>
      </c>
      <c r="P71" s="141">
        <f t="shared" si="4"/>
        <v>0</v>
      </c>
      <c r="Q71" s="151">
        <v>79</v>
      </c>
      <c r="R71" s="151">
        <v>23.7</v>
      </c>
      <c r="S71" s="141">
        <f t="shared" si="5"/>
        <v>0.5231788079470199</v>
      </c>
      <c r="T71" s="151">
        <v>8</v>
      </c>
      <c r="U71" s="151">
        <v>0.8</v>
      </c>
      <c r="V71" s="141">
        <f t="shared" si="6"/>
        <v>0.8</v>
      </c>
      <c r="W71" s="151">
        <v>10</v>
      </c>
      <c r="X71" s="151">
        <v>1</v>
      </c>
      <c r="Y71" s="141">
        <f t="shared" si="7"/>
        <v>1</v>
      </c>
      <c r="Z71" s="151">
        <v>77.5</v>
      </c>
      <c r="AA71" s="151">
        <v>7.75</v>
      </c>
      <c r="AB71" s="141">
        <f t="shared" si="8"/>
        <v>0.7345971563981043</v>
      </c>
      <c r="AC71" s="142">
        <f t="shared" si="13"/>
        <v>352.125</v>
      </c>
      <c r="AD71" s="143">
        <f t="shared" si="11"/>
        <v>45.981249999999996</v>
      </c>
      <c r="AE71" s="144"/>
      <c r="AF71" s="152"/>
      <c r="AG71" s="152"/>
      <c r="AH71" s="152"/>
      <c r="AI71" s="152"/>
    </row>
    <row r="72" spans="1:35" ht="15.75">
      <c r="A72" s="139">
        <v>89</v>
      </c>
      <c r="B72" s="145">
        <v>34.125</v>
      </c>
      <c r="C72" s="145">
        <v>1.70625</v>
      </c>
      <c r="D72" s="141">
        <f t="shared" si="0"/>
        <v>0.385049365303244</v>
      </c>
      <c r="E72" s="145">
        <v>62</v>
      </c>
      <c r="F72" s="145">
        <v>1.55</v>
      </c>
      <c r="G72" s="141">
        <f t="shared" si="1"/>
        <v>0.656084656084656</v>
      </c>
      <c r="H72" s="145">
        <v>26</v>
      </c>
      <c r="I72" s="145">
        <v>0.65</v>
      </c>
      <c r="J72" s="141">
        <f t="shared" si="2"/>
        <v>0.37142857142857144</v>
      </c>
      <c r="K72" s="145">
        <v>25.75</v>
      </c>
      <c r="L72" s="145">
        <v>7.725</v>
      </c>
      <c r="M72" s="141">
        <f t="shared" si="3"/>
        <v>0.2821917808219178</v>
      </c>
      <c r="N72" s="145">
        <v>21</v>
      </c>
      <c r="O72" s="145">
        <v>2.1</v>
      </c>
      <c r="P72" s="141">
        <f t="shared" si="4"/>
        <v>0.13725490196078433</v>
      </c>
      <c r="Q72" s="145">
        <v>79</v>
      </c>
      <c r="R72" s="145">
        <v>23.7</v>
      </c>
      <c r="S72" s="141">
        <f t="shared" si="5"/>
        <v>0.5231788079470199</v>
      </c>
      <c r="T72" s="145">
        <v>8</v>
      </c>
      <c r="U72" s="145">
        <v>0.8</v>
      </c>
      <c r="V72" s="141">
        <f t="shared" si="6"/>
        <v>0.8</v>
      </c>
      <c r="W72" s="145">
        <v>5</v>
      </c>
      <c r="X72" s="145">
        <v>0.5</v>
      </c>
      <c r="Y72" s="141">
        <f t="shared" si="7"/>
        <v>0.5</v>
      </c>
      <c r="Z72" s="145">
        <v>80.5</v>
      </c>
      <c r="AA72" s="145">
        <v>8.05</v>
      </c>
      <c r="AB72" s="141">
        <f t="shared" si="8"/>
        <v>0.7630331753554502</v>
      </c>
      <c r="AC72" s="142">
        <f t="shared" si="13"/>
        <v>341.375</v>
      </c>
      <c r="AD72" s="143">
        <f t="shared" si="11"/>
        <v>46.78125</v>
      </c>
      <c r="AE72" s="144"/>
      <c r="AF72" s="146"/>
      <c r="AG72" s="146"/>
      <c r="AH72" s="146"/>
      <c r="AI72" s="146"/>
    </row>
    <row r="73" spans="1:35" ht="15.75">
      <c r="A73" s="139">
        <v>90</v>
      </c>
      <c r="B73" s="145"/>
      <c r="C73" s="145"/>
      <c r="D73" s="141">
        <f aca="true" t="shared" si="14" ref="D73:D80">B73/$D$2</f>
        <v>0</v>
      </c>
      <c r="E73" s="145"/>
      <c r="F73" s="145"/>
      <c r="G73" s="141">
        <f aca="true" t="shared" si="15" ref="G73:G80">E73/$G$2</f>
        <v>0</v>
      </c>
      <c r="H73" s="145"/>
      <c r="I73" s="145"/>
      <c r="J73" s="141">
        <f aca="true" t="shared" si="16" ref="J73:J85">H73/$J$2</f>
        <v>0</v>
      </c>
      <c r="K73" s="145"/>
      <c r="L73" s="145"/>
      <c r="M73" s="141">
        <f aca="true" t="shared" si="17" ref="M73:M79">K73/$M$2</f>
        <v>0</v>
      </c>
      <c r="N73" s="145"/>
      <c r="O73" s="145"/>
      <c r="P73" s="141">
        <f aca="true" t="shared" si="18" ref="P73:P81">N73/$P$2</f>
        <v>0</v>
      </c>
      <c r="Q73" s="145"/>
      <c r="R73" s="145"/>
      <c r="S73" s="141">
        <f aca="true" t="shared" si="19" ref="S73:S84">Q73/$S$2</f>
        <v>0</v>
      </c>
      <c r="T73" s="145"/>
      <c r="U73" s="145"/>
      <c r="V73" s="141">
        <f aca="true" t="shared" si="20" ref="V73:V83">T73/$V$2</f>
        <v>0</v>
      </c>
      <c r="W73" s="145"/>
      <c r="X73" s="145"/>
      <c r="Y73" s="141">
        <f aca="true" t="shared" si="21" ref="Y73:Y82">W73/$Y$2</f>
        <v>0</v>
      </c>
      <c r="Z73" s="145"/>
      <c r="AA73" s="145"/>
      <c r="AB73" s="141">
        <f aca="true" t="shared" si="22" ref="AB73:AB87">Z73/$AB$2</f>
        <v>0</v>
      </c>
      <c r="AC73" s="142"/>
      <c r="AD73" s="143"/>
      <c r="AE73" s="144"/>
      <c r="AF73" s="146"/>
      <c r="AG73" s="146"/>
      <c r="AH73" s="146"/>
      <c r="AI73" s="146"/>
    </row>
    <row r="74" spans="1:35" ht="15.75">
      <c r="A74" s="139">
        <v>91</v>
      </c>
      <c r="B74" s="145"/>
      <c r="C74" s="145"/>
      <c r="D74" s="141">
        <f t="shared" si="14"/>
        <v>0</v>
      </c>
      <c r="E74" s="145"/>
      <c r="F74" s="145"/>
      <c r="G74" s="141">
        <f t="shared" si="15"/>
        <v>0</v>
      </c>
      <c r="H74" s="145"/>
      <c r="I74" s="145"/>
      <c r="J74" s="141">
        <f t="shared" si="16"/>
        <v>0</v>
      </c>
      <c r="K74" s="145"/>
      <c r="L74" s="145"/>
      <c r="M74" s="141">
        <f t="shared" si="17"/>
        <v>0</v>
      </c>
      <c r="N74" s="145"/>
      <c r="O74" s="145"/>
      <c r="P74" s="141">
        <f t="shared" si="18"/>
        <v>0</v>
      </c>
      <c r="Q74" s="145"/>
      <c r="R74" s="145"/>
      <c r="S74" s="141">
        <f t="shared" si="19"/>
        <v>0</v>
      </c>
      <c r="T74" s="145"/>
      <c r="U74" s="145"/>
      <c r="V74" s="141">
        <f t="shared" si="20"/>
        <v>0</v>
      </c>
      <c r="W74" s="145"/>
      <c r="X74" s="145"/>
      <c r="Y74" s="141">
        <f t="shared" si="21"/>
        <v>0</v>
      </c>
      <c r="Z74" s="145"/>
      <c r="AA74" s="145"/>
      <c r="AB74" s="141">
        <f t="shared" si="22"/>
        <v>0</v>
      </c>
      <c r="AC74" s="142"/>
      <c r="AD74" s="143"/>
      <c r="AE74" s="144"/>
      <c r="AF74" s="146"/>
      <c r="AG74" s="146"/>
      <c r="AH74" s="146"/>
      <c r="AI74" s="146"/>
    </row>
    <row r="75" spans="1:35" ht="15.75">
      <c r="A75" s="139">
        <v>92</v>
      </c>
      <c r="B75" s="145"/>
      <c r="C75" s="145"/>
      <c r="D75" s="141">
        <f t="shared" si="14"/>
        <v>0</v>
      </c>
      <c r="E75" s="145"/>
      <c r="F75" s="145"/>
      <c r="G75" s="141">
        <f t="shared" si="15"/>
        <v>0</v>
      </c>
      <c r="H75" s="145"/>
      <c r="I75" s="145"/>
      <c r="J75" s="141">
        <f t="shared" si="16"/>
        <v>0</v>
      </c>
      <c r="K75" s="145"/>
      <c r="L75" s="145"/>
      <c r="M75" s="141">
        <f t="shared" si="17"/>
        <v>0</v>
      </c>
      <c r="N75" s="145"/>
      <c r="O75" s="145"/>
      <c r="P75" s="141">
        <f t="shared" si="18"/>
        <v>0</v>
      </c>
      <c r="Q75" s="145"/>
      <c r="R75" s="145"/>
      <c r="S75" s="141">
        <f t="shared" si="19"/>
        <v>0</v>
      </c>
      <c r="T75" s="145"/>
      <c r="U75" s="145"/>
      <c r="V75" s="141">
        <f t="shared" si="20"/>
        <v>0</v>
      </c>
      <c r="W75" s="145"/>
      <c r="X75" s="145"/>
      <c r="Y75" s="141">
        <f t="shared" si="21"/>
        <v>0</v>
      </c>
      <c r="Z75" s="145"/>
      <c r="AA75" s="145"/>
      <c r="AB75" s="141">
        <f t="shared" si="22"/>
        <v>0</v>
      </c>
      <c r="AC75" s="142"/>
      <c r="AD75" s="143"/>
      <c r="AE75" s="144"/>
      <c r="AF75" s="146"/>
      <c r="AG75" s="146"/>
      <c r="AH75" s="146"/>
      <c r="AI75" s="146"/>
    </row>
    <row r="76" spans="1:35" ht="15.75">
      <c r="A76" s="139">
        <v>93</v>
      </c>
      <c r="B76" s="145"/>
      <c r="C76" s="145"/>
      <c r="D76" s="141">
        <f t="shared" si="14"/>
        <v>0</v>
      </c>
      <c r="E76" s="145"/>
      <c r="F76" s="145"/>
      <c r="G76" s="141">
        <f t="shared" si="15"/>
        <v>0</v>
      </c>
      <c r="H76" s="145"/>
      <c r="I76" s="145"/>
      <c r="J76" s="141">
        <f t="shared" si="16"/>
        <v>0</v>
      </c>
      <c r="K76" s="145"/>
      <c r="L76" s="145"/>
      <c r="M76" s="141">
        <f t="shared" si="17"/>
        <v>0</v>
      </c>
      <c r="N76" s="145"/>
      <c r="O76" s="145"/>
      <c r="P76" s="141">
        <f t="shared" si="18"/>
        <v>0</v>
      </c>
      <c r="Q76" s="145"/>
      <c r="R76" s="145"/>
      <c r="S76" s="141">
        <f t="shared" si="19"/>
        <v>0</v>
      </c>
      <c r="T76" s="145"/>
      <c r="U76" s="145"/>
      <c r="V76" s="141">
        <f t="shared" si="20"/>
        <v>0</v>
      </c>
      <c r="W76" s="145"/>
      <c r="X76" s="145"/>
      <c r="Y76" s="141">
        <f t="shared" si="21"/>
        <v>0</v>
      </c>
      <c r="Z76" s="145"/>
      <c r="AA76" s="145"/>
      <c r="AB76" s="141">
        <f t="shared" si="22"/>
        <v>0</v>
      </c>
      <c r="AC76" s="142"/>
      <c r="AD76" s="143"/>
      <c r="AE76" s="144"/>
      <c r="AF76" s="146"/>
      <c r="AG76" s="146"/>
      <c r="AH76" s="146"/>
      <c r="AI76" s="146"/>
    </row>
    <row r="77" spans="1:35" ht="15.75">
      <c r="A77" s="139" t="s">
        <v>13</v>
      </c>
      <c r="B77" s="147">
        <v>31.5</v>
      </c>
      <c r="C77" s="147">
        <v>1.575</v>
      </c>
      <c r="D77" s="141">
        <f t="shared" si="14"/>
        <v>0.3554301833568406</v>
      </c>
      <c r="E77" s="147">
        <v>62.5</v>
      </c>
      <c r="F77" s="147">
        <v>1.5625</v>
      </c>
      <c r="G77" s="141">
        <f t="shared" si="15"/>
        <v>0.6613756613756614</v>
      </c>
      <c r="H77" s="147">
        <v>6</v>
      </c>
      <c r="I77" s="147">
        <v>0.15</v>
      </c>
      <c r="J77" s="141">
        <f t="shared" si="16"/>
        <v>0.08571428571428572</v>
      </c>
      <c r="K77" s="147">
        <v>25</v>
      </c>
      <c r="L77" s="147">
        <v>7.5</v>
      </c>
      <c r="M77" s="141">
        <f t="shared" si="17"/>
        <v>0.273972602739726</v>
      </c>
      <c r="N77" s="147">
        <v>20</v>
      </c>
      <c r="O77" s="147">
        <v>2</v>
      </c>
      <c r="P77" s="141">
        <f t="shared" si="18"/>
        <v>0.13071895424836602</v>
      </c>
      <c r="Q77" s="147">
        <v>43</v>
      </c>
      <c r="R77" s="147">
        <v>12.9</v>
      </c>
      <c r="S77" s="141">
        <f t="shared" si="19"/>
        <v>0.2847682119205298</v>
      </c>
      <c r="T77" s="147">
        <v>8</v>
      </c>
      <c r="U77" s="147">
        <v>0.8</v>
      </c>
      <c r="V77" s="141">
        <f t="shared" si="20"/>
        <v>0.8</v>
      </c>
      <c r="W77" s="147">
        <v>5</v>
      </c>
      <c r="X77" s="147">
        <v>0.5</v>
      </c>
      <c r="Y77" s="141">
        <f t="shared" si="21"/>
        <v>0.5</v>
      </c>
      <c r="Z77" s="147">
        <v>38.5</v>
      </c>
      <c r="AA77" s="147">
        <v>3.85</v>
      </c>
      <c r="AB77" s="141">
        <f t="shared" si="22"/>
        <v>0.36492890995260663</v>
      </c>
      <c r="AC77" s="142">
        <f aca="true" t="shared" si="23" ref="AC77:AC89">SUM(B77,E77,H77,K77,N77,Q77,T77,W77,Z77)</f>
        <v>239.5</v>
      </c>
      <c r="AD77" s="143">
        <f aca="true" t="shared" si="24" ref="AD77:AD87">SUM(C77,F77,I77,L77,O77,R77,U77,X77,AA77)</f>
        <v>30.837500000000002</v>
      </c>
      <c r="AE77" s="144"/>
      <c r="AF77" s="148"/>
      <c r="AG77" s="148"/>
      <c r="AH77" s="148"/>
      <c r="AI77" s="148"/>
    </row>
    <row r="78" spans="1:35" ht="15.75">
      <c r="A78" s="139" t="s">
        <v>819</v>
      </c>
      <c r="B78" s="147">
        <v>22.5</v>
      </c>
      <c r="C78" s="147">
        <v>1.125</v>
      </c>
      <c r="D78" s="141">
        <f t="shared" si="14"/>
        <v>0.2538787023977433</v>
      </c>
      <c r="E78" s="147">
        <v>0</v>
      </c>
      <c r="F78" s="147">
        <v>0</v>
      </c>
      <c r="G78" s="141">
        <f t="shared" si="15"/>
        <v>0</v>
      </c>
      <c r="H78" s="147">
        <v>0</v>
      </c>
      <c r="I78" s="147">
        <v>0</v>
      </c>
      <c r="J78" s="141">
        <f t="shared" si="16"/>
        <v>0</v>
      </c>
      <c r="K78" s="147">
        <v>22.5</v>
      </c>
      <c r="L78" s="147">
        <v>6.75</v>
      </c>
      <c r="M78" s="141">
        <f t="shared" si="17"/>
        <v>0.2465753424657534</v>
      </c>
      <c r="N78" s="147">
        <v>0</v>
      </c>
      <c r="O78" s="447">
        <v>2</v>
      </c>
      <c r="P78" s="141">
        <f t="shared" si="18"/>
        <v>0</v>
      </c>
      <c r="Q78" s="147">
        <v>0</v>
      </c>
      <c r="R78" s="147">
        <v>0</v>
      </c>
      <c r="S78" s="141">
        <f t="shared" si="19"/>
        <v>0</v>
      </c>
      <c r="T78" s="147">
        <v>0</v>
      </c>
      <c r="U78" s="147">
        <v>0</v>
      </c>
      <c r="V78" s="141">
        <f t="shared" si="20"/>
        <v>0</v>
      </c>
      <c r="W78" s="147">
        <v>0</v>
      </c>
      <c r="X78" s="147">
        <v>0</v>
      </c>
      <c r="Y78" s="141">
        <f t="shared" si="21"/>
        <v>0</v>
      </c>
      <c r="Z78" s="147">
        <v>0</v>
      </c>
      <c r="AA78" s="147">
        <v>0</v>
      </c>
      <c r="AB78" s="141">
        <f t="shared" si="22"/>
        <v>0</v>
      </c>
      <c r="AC78" s="142">
        <f t="shared" si="23"/>
        <v>45</v>
      </c>
      <c r="AD78" s="143">
        <f t="shared" si="24"/>
        <v>9.875</v>
      </c>
      <c r="AE78" s="144"/>
      <c r="AF78" s="148"/>
      <c r="AG78" s="148"/>
      <c r="AH78" s="148"/>
      <c r="AI78" s="148"/>
    </row>
    <row r="79" spans="1:35" ht="15.75">
      <c r="A79" s="139" t="s">
        <v>820</v>
      </c>
      <c r="B79" s="151">
        <v>43.5</v>
      </c>
      <c r="C79" s="151">
        <v>2.175</v>
      </c>
      <c r="D79" s="141">
        <f t="shared" si="14"/>
        <v>0.4908321579689704</v>
      </c>
      <c r="E79" s="151">
        <v>0</v>
      </c>
      <c r="F79" s="151">
        <v>0</v>
      </c>
      <c r="G79" s="141">
        <f t="shared" si="15"/>
        <v>0</v>
      </c>
      <c r="H79" s="151">
        <v>0</v>
      </c>
      <c r="I79" s="151">
        <v>0</v>
      </c>
      <c r="J79" s="141">
        <f t="shared" si="16"/>
        <v>0</v>
      </c>
      <c r="K79" s="151">
        <v>0</v>
      </c>
      <c r="L79" s="445">
        <v>6.75</v>
      </c>
      <c r="M79" s="141">
        <f t="shared" si="17"/>
        <v>0</v>
      </c>
      <c r="N79" s="151">
        <v>0</v>
      </c>
      <c r="O79" s="445">
        <v>2</v>
      </c>
      <c r="P79" s="141">
        <f t="shared" si="18"/>
        <v>0</v>
      </c>
      <c r="Q79" s="151">
        <v>0</v>
      </c>
      <c r="R79" s="151">
        <v>0</v>
      </c>
      <c r="S79" s="141">
        <f t="shared" si="19"/>
        <v>0</v>
      </c>
      <c r="T79" s="151">
        <v>0</v>
      </c>
      <c r="U79" s="151">
        <v>0</v>
      </c>
      <c r="V79" s="141">
        <f t="shared" si="20"/>
        <v>0</v>
      </c>
      <c r="W79" s="151">
        <v>0</v>
      </c>
      <c r="X79" s="151">
        <v>0</v>
      </c>
      <c r="Y79" s="141">
        <f t="shared" si="21"/>
        <v>0</v>
      </c>
      <c r="Z79" s="151">
        <v>0</v>
      </c>
      <c r="AA79" s="151">
        <v>0</v>
      </c>
      <c r="AB79" s="141">
        <f t="shared" si="22"/>
        <v>0</v>
      </c>
      <c r="AC79" s="142">
        <f t="shared" si="23"/>
        <v>43.5</v>
      </c>
      <c r="AD79" s="143">
        <f t="shared" si="24"/>
        <v>10.925</v>
      </c>
      <c r="AE79" s="144"/>
      <c r="AF79" s="152"/>
      <c r="AG79" s="152"/>
      <c r="AH79" s="152"/>
      <c r="AI79" s="152"/>
    </row>
    <row r="80" spans="1:35" ht="15.75">
      <c r="A80" s="139" t="s">
        <v>821</v>
      </c>
      <c r="B80" s="151">
        <v>61</v>
      </c>
      <c r="C80" s="151">
        <v>3.05</v>
      </c>
      <c r="D80" s="141">
        <f t="shared" si="14"/>
        <v>0.688293370944993</v>
      </c>
      <c r="E80" s="151">
        <v>77</v>
      </c>
      <c r="F80" s="151">
        <v>1.925</v>
      </c>
      <c r="G80" s="141">
        <f t="shared" si="15"/>
        <v>0.8148148148148148</v>
      </c>
      <c r="H80" s="151">
        <v>26</v>
      </c>
      <c r="I80" s="151">
        <v>0.65</v>
      </c>
      <c r="J80" s="141">
        <f t="shared" si="16"/>
        <v>0.37142857142857144</v>
      </c>
      <c r="K80" s="463">
        <v>6.5</v>
      </c>
      <c r="L80" s="463">
        <v>1.95</v>
      </c>
      <c r="M80" s="462">
        <f aca="true" t="shared" si="25" ref="M80:M87">K80/$M$2</f>
        <v>0.07123287671232877</v>
      </c>
      <c r="N80" s="151">
        <v>31</v>
      </c>
      <c r="O80" s="151">
        <v>3.1</v>
      </c>
      <c r="P80" s="141">
        <f t="shared" si="18"/>
        <v>0.20261437908496732</v>
      </c>
      <c r="Q80" s="151">
        <v>79</v>
      </c>
      <c r="R80" s="151">
        <v>23.7</v>
      </c>
      <c r="S80" s="141">
        <f t="shared" si="19"/>
        <v>0.5231788079470199</v>
      </c>
      <c r="T80" s="151">
        <v>8</v>
      </c>
      <c r="U80" s="151">
        <v>0.8</v>
      </c>
      <c r="V80" s="141">
        <f t="shared" si="20"/>
        <v>0.8</v>
      </c>
      <c r="W80" s="151">
        <v>5</v>
      </c>
      <c r="X80" s="151">
        <v>0.5</v>
      </c>
      <c r="Y80" s="141">
        <f t="shared" si="21"/>
        <v>0.5</v>
      </c>
      <c r="Z80" s="151">
        <v>85.5</v>
      </c>
      <c r="AA80" s="151">
        <v>8.55</v>
      </c>
      <c r="AB80" s="141">
        <f t="shared" si="22"/>
        <v>0.8104265402843602</v>
      </c>
      <c r="AC80" s="142">
        <f t="shared" si="23"/>
        <v>379</v>
      </c>
      <c r="AD80" s="143">
        <f t="shared" si="24"/>
        <v>44.224999999999994</v>
      </c>
      <c r="AE80" s="144"/>
      <c r="AF80" s="152"/>
      <c r="AG80" s="152"/>
      <c r="AH80" s="152"/>
      <c r="AI80" s="152"/>
    </row>
    <row r="81" spans="1:35" ht="15.75">
      <c r="A81" s="150" t="s">
        <v>822</v>
      </c>
      <c r="B81" s="147">
        <v>39</v>
      </c>
      <c r="C81" s="147">
        <v>1.95</v>
      </c>
      <c r="D81" s="141">
        <f aca="true" t="shared" si="26" ref="D81:D87">B81/$D$2</f>
        <v>0.4400564174894217</v>
      </c>
      <c r="E81" s="147">
        <v>77</v>
      </c>
      <c r="F81" s="147">
        <v>1.925</v>
      </c>
      <c r="G81" s="141">
        <f aca="true" t="shared" si="27" ref="G81:G87">E81/$G$2</f>
        <v>0.8148148148148148</v>
      </c>
      <c r="H81" s="147">
        <v>26</v>
      </c>
      <c r="I81" s="147">
        <v>0.65</v>
      </c>
      <c r="J81" s="141">
        <f t="shared" si="16"/>
        <v>0.37142857142857144</v>
      </c>
      <c r="K81" s="464">
        <v>68</v>
      </c>
      <c r="L81" s="464">
        <v>20.4</v>
      </c>
      <c r="M81" s="462">
        <f t="shared" si="25"/>
        <v>0.7452054794520548</v>
      </c>
      <c r="N81" s="147">
        <v>31</v>
      </c>
      <c r="O81" s="147">
        <v>3.1</v>
      </c>
      <c r="P81" s="141">
        <f t="shared" si="18"/>
        <v>0.20261437908496732</v>
      </c>
      <c r="Q81" s="147">
        <v>97</v>
      </c>
      <c r="R81" s="147">
        <v>29.1</v>
      </c>
      <c r="S81" s="141">
        <f t="shared" si="19"/>
        <v>0.6423841059602649</v>
      </c>
      <c r="T81" s="147">
        <v>8</v>
      </c>
      <c r="U81" s="147">
        <v>0.8</v>
      </c>
      <c r="V81" s="141">
        <f t="shared" si="20"/>
        <v>0.8</v>
      </c>
      <c r="W81" s="147">
        <v>5</v>
      </c>
      <c r="X81" s="147">
        <v>0.5</v>
      </c>
      <c r="Y81" s="141">
        <f t="shared" si="21"/>
        <v>0.5</v>
      </c>
      <c r="Z81" s="147">
        <v>35.5</v>
      </c>
      <c r="AA81" s="147">
        <v>3.55</v>
      </c>
      <c r="AB81" s="141">
        <f t="shared" si="22"/>
        <v>0.33649289099526064</v>
      </c>
      <c r="AC81" s="142">
        <f t="shared" si="23"/>
        <v>386.5</v>
      </c>
      <c r="AD81" s="143">
        <f t="shared" si="24"/>
        <v>61.974999999999994</v>
      </c>
      <c r="AE81" s="144"/>
      <c r="AF81" s="148"/>
      <c r="AG81" s="148"/>
      <c r="AH81" s="148"/>
      <c r="AI81" s="148"/>
    </row>
    <row r="82" spans="1:35" ht="15.75">
      <c r="A82" s="139">
        <v>101</v>
      </c>
      <c r="B82" s="151">
        <v>59.625</v>
      </c>
      <c r="C82" s="151">
        <v>2.98125</v>
      </c>
      <c r="D82" s="141">
        <f t="shared" si="26"/>
        <v>0.6727785613540197</v>
      </c>
      <c r="E82" s="151">
        <v>43</v>
      </c>
      <c r="F82" s="151">
        <v>1.075</v>
      </c>
      <c r="G82" s="141">
        <f t="shared" si="27"/>
        <v>0.455026455026455</v>
      </c>
      <c r="H82" s="151">
        <v>6</v>
      </c>
      <c r="I82" s="151">
        <v>0.15</v>
      </c>
      <c r="J82" s="141">
        <f t="shared" si="16"/>
        <v>0.08571428571428572</v>
      </c>
      <c r="K82" s="151">
        <v>26.5</v>
      </c>
      <c r="L82" s="151">
        <v>7.95</v>
      </c>
      <c r="M82" s="141">
        <f t="shared" si="25"/>
        <v>0.29041095890410956</v>
      </c>
      <c r="N82" s="151">
        <v>33.5</v>
      </c>
      <c r="O82" s="151">
        <v>3.35</v>
      </c>
      <c r="P82" s="141">
        <f aca="true" t="shared" si="28" ref="P82:P87">N82/$P$2</f>
        <v>0.21895424836601307</v>
      </c>
      <c r="Q82" s="151">
        <v>92</v>
      </c>
      <c r="R82" s="151">
        <v>27.6</v>
      </c>
      <c r="S82" s="141">
        <f t="shared" si="19"/>
        <v>0.609271523178808</v>
      </c>
      <c r="T82" s="151">
        <v>10</v>
      </c>
      <c r="U82" s="151">
        <v>1</v>
      </c>
      <c r="V82" s="141">
        <f t="shared" si="20"/>
        <v>1</v>
      </c>
      <c r="W82" s="151">
        <v>10</v>
      </c>
      <c r="X82" s="151">
        <v>1</v>
      </c>
      <c r="Y82" s="141">
        <f t="shared" si="21"/>
        <v>1</v>
      </c>
      <c r="Z82" s="151">
        <v>96.5</v>
      </c>
      <c r="AA82" s="151">
        <v>9.65</v>
      </c>
      <c r="AB82" s="141">
        <f t="shared" si="22"/>
        <v>0.9146919431279621</v>
      </c>
      <c r="AC82" s="142">
        <f t="shared" si="23"/>
        <v>377.125</v>
      </c>
      <c r="AD82" s="143">
        <f t="shared" si="24"/>
        <v>54.75625</v>
      </c>
      <c r="AE82" s="144"/>
      <c r="AF82" s="152"/>
      <c r="AG82" s="152"/>
      <c r="AH82" s="152"/>
      <c r="AI82" s="152"/>
    </row>
    <row r="83" spans="1:35" ht="15.75">
      <c r="A83" s="139">
        <v>102</v>
      </c>
      <c r="B83" s="151">
        <v>63.625</v>
      </c>
      <c r="C83" s="151">
        <v>3.18125</v>
      </c>
      <c r="D83" s="141">
        <f t="shared" si="26"/>
        <v>0.7179125528913963</v>
      </c>
      <c r="E83" s="151">
        <v>69.5</v>
      </c>
      <c r="F83" s="151">
        <v>1.7375</v>
      </c>
      <c r="G83" s="141">
        <f t="shared" si="27"/>
        <v>0.7354497354497355</v>
      </c>
      <c r="H83" s="151">
        <v>70</v>
      </c>
      <c r="I83" s="151">
        <v>1.75</v>
      </c>
      <c r="J83" s="141">
        <f t="shared" si="16"/>
        <v>1</v>
      </c>
      <c r="K83" s="152">
        <v>69</v>
      </c>
      <c r="L83" s="152">
        <v>20.7</v>
      </c>
      <c r="M83" s="141">
        <f t="shared" si="25"/>
        <v>0.7561643835616438</v>
      </c>
      <c r="N83" s="445">
        <v>153</v>
      </c>
      <c r="O83" s="445">
        <v>10</v>
      </c>
      <c r="P83" s="141">
        <f t="shared" si="28"/>
        <v>1</v>
      </c>
      <c r="Q83" s="445">
        <v>115</v>
      </c>
      <c r="R83" s="151">
        <v>30</v>
      </c>
      <c r="S83" s="141">
        <f t="shared" si="19"/>
        <v>0.7615894039735099</v>
      </c>
      <c r="T83" s="151">
        <v>8</v>
      </c>
      <c r="U83" s="151">
        <v>0.8</v>
      </c>
      <c r="V83" s="141">
        <f t="shared" si="20"/>
        <v>0.8</v>
      </c>
      <c r="W83" s="151">
        <v>10</v>
      </c>
      <c r="X83" s="151">
        <v>1</v>
      </c>
      <c r="Y83" s="141">
        <f>W83/$Y$2</f>
        <v>1</v>
      </c>
      <c r="Z83" s="151">
        <v>55.5</v>
      </c>
      <c r="AA83" s="151">
        <v>5.55</v>
      </c>
      <c r="AB83" s="141">
        <f t="shared" si="22"/>
        <v>0.5260663507109005</v>
      </c>
      <c r="AC83" s="142">
        <f t="shared" si="23"/>
        <v>613.625</v>
      </c>
      <c r="AD83" s="143">
        <f t="shared" si="24"/>
        <v>74.71875</v>
      </c>
      <c r="AE83" s="144"/>
      <c r="AF83" s="152"/>
      <c r="AG83" s="152"/>
      <c r="AH83" s="152"/>
      <c r="AI83" s="152"/>
    </row>
    <row r="84" spans="1:35" ht="15.75">
      <c r="A84" s="139">
        <v>104</v>
      </c>
      <c r="B84" s="145">
        <v>88.625</v>
      </c>
      <c r="C84" s="145">
        <v>4.43125</v>
      </c>
      <c r="D84" s="141">
        <f t="shared" si="26"/>
        <v>1</v>
      </c>
      <c r="E84" s="145">
        <v>50</v>
      </c>
      <c r="F84" s="145">
        <v>1.25</v>
      </c>
      <c r="G84" s="141">
        <f t="shared" si="27"/>
        <v>0.5291005291005291</v>
      </c>
      <c r="H84" s="145">
        <v>28</v>
      </c>
      <c r="I84" s="145">
        <v>0.7</v>
      </c>
      <c r="J84" s="141">
        <f t="shared" si="16"/>
        <v>0.4</v>
      </c>
      <c r="K84" s="146">
        <v>69</v>
      </c>
      <c r="L84" s="146">
        <v>20.7</v>
      </c>
      <c r="M84" s="141">
        <f t="shared" si="25"/>
        <v>0.7561643835616438</v>
      </c>
      <c r="N84" s="446">
        <v>132</v>
      </c>
      <c r="O84" s="446">
        <v>10</v>
      </c>
      <c r="P84" s="141">
        <f t="shared" si="28"/>
        <v>0.8627450980392157</v>
      </c>
      <c r="Q84" s="145">
        <v>36</v>
      </c>
      <c r="R84" s="145">
        <v>10.8</v>
      </c>
      <c r="S84" s="141">
        <f t="shared" si="19"/>
        <v>0.23841059602649006</v>
      </c>
      <c r="T84" s="145">
        <v>8</v>
      </c>
      <c r="U84" s="145">
        <v>0.8</v>
      </c>
      <c r="V84" s="141">
        <f>T84/$V$2</f>
        <v>0.8</v>
      </c>
      <c r="W84" s="145">
        <v>10</v>
      </c>
      <c r="X84" s="145">
        <v>1</v>
      </c>
      <c r="Y84" s="141">
        <f>W84/$Y$2</f>
        <v>1</v>
      </c>
      <c r="Z84" s="145">
        <v>80.5</v>
      </c>
      <c r="AA84" s="145">
        <v>8.05</v>
      </c>
      <c r="AB84" s="141">
        <f t="shared" si="22"/>
        <v>0.7630331753554502</v>
      </c>
      <c r="AC84" s="142">
        <f t="shared" si="23"/>
        <v>502.125</v>
      </c>
      <c r="AD84" s="143">
        <f t="shared" si="24"/>
        <v>57.73124999999999</v>
      </c>
      <c r="AE84" s="144"/>
      <c r="AF84" s="146"/>
      <c r="AG84" s="146"/>
      <c r="AH84" s="146"/>
      <c r="AI84" s="146"/>
    </row>
    <row r="85" spans="1:35" ht="15.75">
      <c r="A85" s="139" t="s">
        <v>784</v>
      </c>
      <c r="B85" s="147">
        <v>37.125</v>
      </c>
      <c r="C85" s="147">
        <v>1.85625</v>
      </c>
      <c r="D85" s="141">
        <f t="shared" si="26"/>
        <v>0.41889985895627646</v>
      </c>
      <c r="E85" s="147">
        <v>64.5</v>
      </c>
      <c r="F85" s="147">
        <v>1.6125</v>
      </c>
      <c r="G85" s="141">
        <f t="shared" si="27"/>
        <v>0.6825396825396826</v>
      </c>
      <c r="H85" s="147">
        <v>8</v>
      </c>
      <c r="I85" s="147">
        <v>0.2</v>
      </c>
      <c r="J85" s="141">
        <f t="shared" si="16"/>
        <v>0.11428571428571428</v>
      </c>
      <c r="K85" s="147">
        <v>6.5</v>
      </c>
      <c r="L85" s="147">
        <v>1.95</v>
      </c>
      <c r="M85" s="141">
        <f t="shared" si="25"/>
        <v>0.07123287671232877</v>
      </c>
      <c r="N85" s="147">
        <v>30</v>
      </c>
      <c r="O85" s="147">
        <v>3</v>
      </c>
      <c r="P85" s="141">
        <f t="shared" si="28"/>
        <v>0.19607843137254902</v>
      </c>
      <c r="Q85" s="147">
        <v>7</v>
      </c>
      <c r="R85" s="147">
        <v>2.1</v>
      </c>
      <c r="S85" s="141">
        <f>Q85/$S$2</f>
        <v>0.046357615894039736</v>
      </c>
      <c r="T85" s="147">
        <v>8</v>
      </c>
      <c r="U85" s="147">
        <v>0.8</v>
      </c>
      <c r="V85" s="141">
        <f>T85/$V$2</f>
        <v>0.8</v>
      </c>
      <c r="W85" s="147">
        <v>10</v>
      </c>
      <c r="X85" s="147">
        <v>1</v>
      </c>
      <c r="Y85" s="141">
        <f>W85/$Y$2</f>
        <v>1</v>
      </c>
      <c r="Z85" s="447">
        <v>105.5</v>
      </c>
      <c r="AA85" s="147">
        <v>10</v>
      </c>
      <c r="AB85" s="141">
        <f t="shared" si="22"/>
        <v>1</v>
      </c>
      <c r="AC85" s="142">
        <f t="shared" si="23"/>
        <v>276.625</v>
      </c>
      <c r="AD85" s="143">
        <f t="shared" si="24"/>
        <v>22.51875</v>
      </c>
      <c r="AE85" s="144"/>
      <c r="AF85" s="148"/>
      <c r="AG85" s="148"/>
      <c r="AH85" s="148"/>
      <c r="AI85" s="148"/>
    </row>
    <row r="86" spans="1:35" ht="15.75">
      <c r="A86" s="139" t="s">
        <v>785</v>
      </c>
      <c r="B86" s="151">
        <v>37.125</v>
      </c>
      <c r="C86" s="151">
        <v>1.85625</v>
      </c>
      <c r="D86" s="141">
        <f t="shared" si="26"/>
        <v>0.41889985895627646</v>
      </c>
      <c r="E86" s="151">
        <v>64.5</v>
      </c>
      <c r="F86" s="151">
        <v>1.6125</v>
      </c>
      <c r="G86" s="141">
        <f t="shared" si="27"/>
        <v>0.6825396825396826</v>
      </c>
      <c r="H86" s="151">
        <v>8</v>
      </c>
      <c r="I86" s="151">
        <v>0.2</v>
      </c>
      <c r="J86" s="141">
        <f>H86/$J$2</f>
        <v>0.11428571428571428</v>
      </c>
      <c r="K86" s="151">
        <v>6.5</v>
      </c>
      <c r="L86" s="151">
        <v>1.95</v>
      </c>
      <c r="M86" s="141">
        <f t="shared" si="25"/>
        <v>0.07123287671232877</v>
      </c>
      <c r="N86" s="151">
        <v>30</v>
      </c>
      <c r="O86" s="151">
        <v>3</v>
      </c>
      <c r="P86" s="141">
        <f t="shared" si="28"/>
        <v>0.19607843137254902</v>
      </c>
      <c r="Q86" s="151">
        <v>7</v>
      </c>
      <c r="R86" s="151">
        <v>2.1</v>
      </c>
      <c r="S86" s="141">
        <f>Q86/$S$2</f>
        <v>0.046357615894039736</v>
      </c>
      <c r="T86" s="151">
        <v>8</v>
      </c>
      <c r="U86" s="151">
        <v>0.8</v>
      </c>
      <c r="V86" s="141">
        <f>T86/$V$2</f>
        <v>0.8</v>
      </c>
      <c r="W86" s="151">
        <v>10</v>
      </c>
      <c r="X86" s="151">
        <v>1</v>
      </c>
      <c r="Y86" s="141">
        <f>W86/$Y$2</f>
        <v>1</v>
      </c>
      <c r="Z86" s="445">
        <v>105.5</v>
      </c>
      <c r="AA86" s="151">
        <v>10</v>
      </c>
      <c r="AB86" s="141">
        <f t="shared" si="22"/>
        <v>1</v>
      </c>
      <c r="AC86" s="142">
        <f t="shared" si="23"/>
        <v>276.625</v>
      </c>
      <c r="AD86" s="143">
        <f t="shared" si="24"/>
        <v>22.51875</v>
      </c>
      <c r="AE86" s="144"/>
      <c r="AF86" s="152"/>
      <c r="AG86" s="152"/>
      <c r="AH86" s="152"/>
      <c r="AI86" s="152"/>
    </row>
    <row r="87" spans="1:35" ht="15.75">
      <c r="A87" s="139" t="s">
        <v>786</v>
      </c>
      <c r="B87" s="151">
        <v>37.125</v>
      </c>
      <c r="C87" s="151">
        <v>1.85625</v>
      </c>
      <c r="D87" s="141">
        <f t="shared" si="26"/>
        <v>0.41889985895627646</v>
      </c>
      <c r="E87" s="151">
        <v>64.5</v>
      </c>
      <c r="F87" s="151">
        <v>1.6125</v>
      </c>
      <c r="G87" s="141">
        <f t="shared" si="27"/>
        <v>0.6825396825396826</v>
      </c>
      <c r="H87" s="151">
        <v>8</v>
      </c>
      <c r="I87" s="151">
        <v>0.2</v>
      </c>
      <c r="J87" s="141">
        <f>H87/$J$2</f>
        <v>0.11428571428571428</v>
      </c>
      <c r="K87" s="151">
        <v>6.5</v>
      </c>
      <c r="L87" s="151">
        <v>1.95</v>
      </c>
      <c r="M87" s="141">
        <f t="shared" si="25"/>
        <v>0.07123287671232877</v>
      </c>
      <c r="N87" s="151">
        <v>30</v>
      </c>
      <c r="O87" s="151">
        <v>3</v>
      </c>
      <c r="P87" s="141">
        <f t="shared" si="28"/>
        <v>0.19607843137254902</v>
      </c>
      <c r="Q87" s="151">
        <v>7</v>
      </c>
      <c r="R87" s="151">
        <v>2.1</v>
      </c>
      <c r="S87" s="141">
        <f>Q87/$S$2</f>
        <v>0.046357615894039736</v>
      </c>
      <c r="T87" s="151">
        <v>8</v>
      </c>
      <c r="U87" s="151">
        <v>0.8</v>
      </c>
      <c r="V87" s="141">
        <f>T87/$V$2</f>
        <v>0.8</v>
      </c>
      <c r="W87" s="151">
        <v>10</v>
      </c>
      <c r="X87" s="151">
        <v>1</v>
      </c>
      <c r="Y87" s="141">
        <f>W87/$Y$2</f>
        <v>1</v>
      </c>
      <c r="Z87" s="445">
        <v>105.5</v>
      </c>
      <c r="AA87" s="151">
        <v>10</v>
      </c>
      <c r="AB87" s="141">
        <f t="shared" si="22"/>
        <v>1</v>
      </c>
      <c r="AC87" s="142">
        <f t="shared" si="23"/>
        <v>276.625</v>
      </c>
      <c r="AD87" s="143">
        <f t="shared" si="24"/>
        <v>22.51875</v>
      </c>
      <c r="AE87" s="144"/>
      <c r="AF87" s="152"/>
      <c r="AG87" s="152"/>
      <c r="AH87" s="152"/>
      <c r="AI87" s="152"/>
    </row>
    <row r="88" spans="1:35" ht="15.75">
      <c r="A88" s="622">
        <v>65</v>
      </c>
      <c r="B88" s="623">
        <v>54.125</v>
      </c>
      <c r="C88" s="623">
        <v>2.70625</v>
      </c>
      <c r="D88" s="616">
        <v>0.610719322990127</v>
      </c>
      <c r="E88" s="623">
        <v>80</v>
      </c>
      <c r="F88" s="623">
        <v>2</v>
      </c>
      <c r="G88" s="616">
        <v>0.8465608465608465</v>
      </c>
      <c r="H88" s="623">
        <v>56</v>
      </c>
      <c r="I88" s="623">
        <v>1.4</v>
      </c>
      <c r="J88" s="616">
        <v>0.8</v>
      </c>
      <c r="K88" s="623">
        <v>49</v>
      </c>
      <c r="L88" s="623">
        <v>14.7</v>
      </c>
      <c r="M88" s="616">
        <v>0.536986301369863</v>
      </c>
      <c r="N88" s="623">
        <v>100</v>
      </c>
      <c r="O88" s="623">
        <v>10</v>
      </c>
      <c r="P88" s="616">
        <v>0.6535947712418301</v>
      </c>
      <c r="Q88" s="623">
        <v>2</v>
      </c>
      <c r="R88" s="623">
        <v>0.6</v>
      </c>
      <c r="S88" s="616">
        <v>0.013245033112582781</v>
      </c>
      <c r="T88" s="623">
        <v>2</v>
      </c>
      <c r="U88" s="623">
        <v>0.2</v>
      </c>
      <c r="V88" s="616">
        <v>0.2</v>
      </c>
      <c r="W88" s="623">
        <v>10</v>
      </c>
      <c r="X88" s="623">
        <v>1</v>
      </c>
      <c r="Y88" s="616">
        <v>1</v>
      </c>
      <c r="Z88" s="623">
        <v>81.5</v>
      </c>
      <c r="AA88" s="623">
        <v>8.15</v>
      </c>
      <c r="AB88" s="616">
        <v>0.7725118483412322</v>
      </c>
      <c r="AC88" s="142">
        <f t="shared" si="23"/>
        <v>434.625</v>
      </c>
      <c r="AD88" s="143">
        <v>40.75625</v>
      </c>
      <c r="AE88" s="156"/>
      <c r="AF88" s="156"/>
      <c r="AG88" s="156"/>
      <c r="AH88" s="156"/>
      <c r="AI88" s="156"/>
    </row>
    <row r="89" spans="1:35" s="682" customFormat="1" ht="15">
      <c r="A89" s="681">
        <v>84</v>
      </c>
      <c r="B89" s="692">
        <v>19.625</v>
      </c>
      <c r="C89" s="682">
        <v>0.9813</v>
      </c>
      <c r="E89" s="682">
        <v>48</v>
      </c>
      <c r="F89" s="682">
        <v>1.2</v>
      </c>
      <c r="H89" s="682">
        <v>6</v>
      </c>
      <c r="I89" s="682">
        <v>0.15</v>
      </c>
      <c r="K89" s="682">
        <v>25.5</v>
      </c>
      <c r="L89" s="682">
        <v>7.65</v>
      </c>
      <c r="N89" s="682">
        <v>20</v>
      </c>
      <c r="O89" s="682">
        <v>2</v>
      </c>
      <c r="Q89" s="682">
        <v>7</v>
      </c>
      <c r="R89" s="682">
        <v>2.1</v>
      </c>
      <c r="T89" s="682">
        <v>10</v>
      </c>
      <c r="U89" s="682">
        <v>1</v>
      </c>
      <c r="W89" s="682">
        <v>15</v>
      </c>
      <c r="X89" s="682">
        <v>1.5</v>
      </c>
      <c r="Z89" s="682">
        <v>95.5</v>
      </c>
      <c r="AA89" s="682">
        <v>9.55</v>
      </c>
      <c r="AC89" s="142">
        <f t="shared" si="23"/>
        <v>246.625</v>
      </c>
      <c r="AD89" s="682">
        <v>24.031</v>
      </c>
      <c r="AE89" s="683"/>
      <c r="AF89" s="683"/>
      <c r="AG89" s="683"/>
      <c r="AH89" s="683"/>
      <c r="AI89" s="683"/>
    </row>
    <row r="90" spans="31:35" ht="12.75">
      <c r="AE90" s="156"/>
      <c r="AF90" s="156"/>
      <c r="AG90" s="156"/>
      <c r="AH90" s="156"/>
      <c r="AI90" s="156"/>
    </row>
    <row r="91" spans="31:35" ht="12.75">
      <c r="AE91" s="156"/>
      <c r="AF91" s="156"/>
      <c r="AG91" s="156"/>
      <c r="AH91" s="156"/>
      <c r="AI91" s="156"/>
    </row>
    <row r="92" spans="31:35" ht="12.75">
      <c r="AE92" s="156"/>
      <c r="AF92" s="156"/>
      <c r="AG92" s="156"/>
      <c r="AH92" s="156"/>
      <c r="AI92" s="156"/>
    </row>
    <row r="93" spans="31:35" ht="12.75">
      <c r="AE93" s="156"/>
      <c r="AF93" s="156"/>
      <c r="AG93" s="156"/>
      <c r="AH93" s="156"/>
      <c r="AI93" s="156"/>
    </row>
    <row r="94" spans="31:35" ht="12.75">
      <c r="AE94" s="156"/>
      <c r="AF94" s="156"/>
      <c r="AG94" s="156"/>
      <c r="AH94" s="156"/>
      <c r="AI94" s="156"/>
    </row>
    <row r="95" spans="31:35" ht="12.75">
      <c r="AE95" s="156"/>
      <c r="AF95" s="156"/>
      <c r="AG95" s="156"/>
      <c r="AH95" s="156"/>
      <c r="AI95" s="156"/>
    </row>
    <row r="96" spans="31:35" ht="12.75">
      <c r="AE96" s="156"/>
      <c r="AF96" s="156"/>
      <c r="AG96" s="156"/>
      <c r="AH96" s="156"/>
      <c r="AI96" s="156"/>
    </row>
    <row r="97" spans="31:35" ht="12.75">
      <c r="AE97" s="156"/>
      <c r="AF97" s="156"/>
      <c r="AG97" s="156"/>
      <c r="AH97" s="156"/>
      <c r="AI97" s="156"/>
    </row>
    <row r="98" spans="31:35" ht="12.75">
      <c r="AE98" s="156"/>
      <c r="AF98" s="156"/>
      <c r="AG98" s="156"/>
      <c r="AH98" s="156"/>
      <c r="AI98" s="156"/>
    </row>
    <row r="99" spans="31:35" ht="12.75">
      <c r="AE99" s="156"/>
      <c r="AF99" s="156"/>
      <c r="AG99" s="156"/>
      <c r="AH99" s="156"/>
      <c r="AI99" s="156"/>
    </row>
    <row r="100" spans="31:35" ht="12.75">
      <c r="AE100" s="156"/>
      <c r="AF100" s="156"/>
      <c r="AG100" s="156"/>
      <c r="AH100" s="156"/>
      <c r="AI100" s="156"/>
    </row>
    <row r="101" spans="31:35" ht="12.75">
      <c r="AE101" s="156"/>
      <c r="AF101" s="156"/>
      <c r="AG101" s="156"/>
      <c r="AH101" s="156"/>
      <c r="AI101" s="156"/>
    </row>
    <row r="102" spans="31:35" ht="12.75">
      <c r="AE102" s="156"/>
      <c r="AF102" s="156"/>
      <c r="AG102" s="156"/>
      <c r="AH102" s="156"/>
      <c r="AI102" s="156"/>
    </row>
    <row r="103" spans="31:35" ht="12.75">
      <c r="AE103" s="156"/>
      <c r="AF103" s="156"/>
      <c r="AG103" s="156"/>
      <c r="AH103" s="156"/>
      <c r="AI103" s="156"/>
    </row>
    <row r="104" spans="31:35" ht="12.75">
      <c r="AE104" s="156"/>
      <c r="AF104" s="156"/>
      <c r="AG104" s="156"/>
      <c r="AH104" s="156"/>
      <c r="AI104" s="156"/>
    </row>
    <row r="105" spans="31:35" ht="12.75">
      <c r="AE105" s="156"/>
      <c r="AF105" s="156"/>
      <c r="AG105" s="156"/>
      <c r="AH105" s="156"/>
      <c r="AI105" s="156"/>
    </row>
    <row r="106" spans="31:35" ht="12.75">
      <c r="AE106" s="156"/>
      <c r="AF106" s="156"/>
      <c r="AG106" s="156"/>
      <c r="AH106" s="156"/>
      <c r="AI106" s="156"/>
    </row>
    <row r="107" spans="31:35" ht="12.75">
      <c r="AE107" s="156"/>
      <c r="AF107" s="156"/>
      <c r="AG107" s="156"/>
      <c r="AH107" s="156"/>
      <c r="AI107" s="156"/>
    </row>
    <row r="108" spans="31:35" ht="12.75">
      <c r="AE108" s="156"/>
      <c r="AF108" s="156"/>
      <c r="AG108" s="156"/>
      <c r="AH108" s="156"/>
      <c r="AI108" s="156"/>
    </row>
    <row r="109" spans="31:35" ht="12.75">
      <c r="AE109" s="156"/>
      <c r="AF109" s="156"/>
      <c r="AG109" s="156"/>
      <c r="AH109" s="156"/>
      <c r="AI109" s="156"/>
    </row>
    <row r="110" spans="31:35" ht="12.75">
      <c r="AE110" s="156"/>
      <c r="AF110" s="156"/>
      <c r="AG110" s="156"/>
      <c r="AH110" s="156"/>
      <c r="AI110" s="156"/>
    </row>
    <row r="111" spans="31:35" ht="12.75">
      <c r="AE111" s="156"/>
      <c r="AF111" s="156"/>
      <c r="AG111" s="156"/>
      <c r="AH111" s="156"/>
      <c r="AI111" s="156"/>
    </row>
    <row r="112" spans="31:35" ht="12.75">
      <c r="AE112" s="156"/>
      <c r="AF112" s="156"/>
      <c r="AG112" s="156"/>
      <c r="AH112" s="156"/>
      <c r="AI112" s="156"/>
    </row>
    <row r="113" spans="31:35" ht="12.75">
      <c r="AE113" s="156"/>
      <c r="AF113" s="156"/>
      <c r="AG113" s="156"/>
      <c r="AH113" s="156"/>
      <c r="AI113" s="156"/>
    </row>
    <row r="114" spans="31:35" ht="12.75">
      <c r="AE114" s="156"/>
      <c r="AF114" s="156"/>
      <c r="AG114" s="156"/>
      <c r="AH114" s="156"/>
      <c r="AI114" s="156"/>
    </row>
    <row r="115" spans="31:35" ht="12.75">
      <c r="AE115" s="156"/>
      <c r="AF115" s="156"/>
      <c r="AG115" s="156"/>
      <c r="AH115" s="156"/>
      <c r="AI115" s="156"/>
    </row>
    <row r="116" spans="31:35" ht="12.75">
      <c r="AE116" s="156"/>
      <c r="AF116" s="156"/>
      <c r="AG116" s="156"/>
      <c r="AH116" s="156"/>
      <c r="AI116" s="156"/>
    </row>
    <row r="117" spans="31:35" ht="12.75">
      <c r="AE117" s="156"/>
      <c r="AF117" s="156"/>
      <c r="AG117" s="156"/>
      <c r="AH117" s="156"/>
      <c r="AI117" s="156"/>
    </row>
    <row r="118" spans="31:35" ht="12.75">
      <c r="AE118" s="156"/>
      <c r="AF118" s="156"/>
      <c r="AG118" s="156"/>
      <c r="AH118" s="156"/>
      <c r="AI118" s="156"/>
    </row>
    <row r="119" spans="31:35" ht="12.75">
      <c r="AE119" s="156"/>
      <c r="AF119" s="156"/>
      <c r="AG119" s="156"/>
      <c r="AH119" s="156"/>
      <c r="AI119" s="156"/>
    </row>
    <row r="120" spans="31:35" ht="12.75">
      <c r="AE120" s="156"/>
      <c r="AF120" s="156"/>
      <c r="AG120" s="156"/>
      <c r="AH120" s="156"/>
      <c r="AI120" s="156"/>
    </row>
    <row r="121" spans="31:35" ht="12.75">
      <c r="AE121" s="156"/>
      <c r="AF121" s="156"/>
      <c r="AG121" s="156"/>
      <c r="AH121" s="156"/>
      <c r="AI121" s="156"/>
    </row>
    <row r="122" spans="31:35" ht="12.75">
      <c r="AE122" s="156"/>
      <c r="AF122" s="156"/>
      <c r="AG122" s="156"/>
      <c r="AH122" s="156"/>
      <c r="AI122" s="156"/>
    </row>
    <row r="123" spans="31:35" ht="12.75">
      <c r="AE123" s="156"/>
      <c r="AF123" s="156"/>
      <c r="AG123" s="156"/>
      <c r="AH123" s="156"/>
      <c r="AI123" s="156"/>
    </row>
    <row r="124" spans="31:35" ht="12.75">
      <c r="AE124" s="156"/>
      <c r="AF124" s="156"/>
      <c r="AG124" s="156"/>
      <c r="AH124" s="156"/>
      <c r="AI124" s="156"/>
    </row>
    <row r="125" spans="31:35" ht="12.75">
      <c r="AE125" s="156"/>
      <c r="AF125" s="156"/>
      <c r="AG125" s="156"/>
      <c r="AH125" s="156"/>
      <c r="AI125" s="156"/>
    </row>
    <row r="126" spans="31:35" ht="12.75">
      <c r="AE126" s="156"/>
      <c r="AF126" s="156"/>
      <c r="AG126" s="156"/>
      <c r="AH126" s="156"/>
      <c r="AI126" s="156"/>
    </row>
    <row r="127" spans="31:35" ht="12.75">
      <c r="AE127" s="156"/>
      <c r="AF127" s="156"/>
      <c r="AG127" s="156"/>
      <c r="AH127" s="156"/>
      <c r="AI127" s="156"/>
    </row>
    <row r="128" spans="31:35" ht="12.75">
      <c r="AE128" s="156"/>
      <c r="AF128" s="156"/>
      <c r="AG128" s="156"/>
      <c r="AH128" s="156"/>
      <c r="AI128" s="156"/>
    </row>
    <row r="129" spans="31:35" ht="12.75">
      <c r="AE129" s="156"/>
      <c r="AF129" s="156"/>
      <c r="AG129" s="156"/>
      <c r="AH129" s="156"/>
      <c r="AI129" s="156"/>
    </row>
    <row r="130" spans="31:35" ht="12.75">
      <c r="AE130" s="156"/>
      <c r="AF130" s="156"/>
      <c r="AG130" s="156"/>
      <c r="AH130" s="156"/>
      <c r="AI130" s="156"/>
    </row>
    <row r="131" spans="31:35" ht="12.75">
      <c r="AE131" s="156"/>
      <c r="AF131" s="156"/>
      <c r="AG131" s="156"/>
      <c r="AH131" s="156"/>
      <c r="AI131" s="156"/>
    </row>
    <row r="132" spans="31:35" ht="12.75">
      <c r="AE132" s="156"/>
      <c r="AF132" s="156"/>
      <c r="AG132" s="156"/>
      <c r="AH132" s="156"/>
      <c r="AI132" s="156"/>
    </row>
    <row r="133" spans="31:35" ht="12.75">
      <c r="AE133" s="156"/>
      <c r="AF133" s="156"/>
      <c r="AG133" s="156"/>
      <c r="AH133" s="156"/>
      <c r="AI133" s="156"/>
    </row>
    <row r="134" spans="31:35" ht="12.75">
      <c r="AE134" s="156"/>
      <c r="AF134" s="156"/>
      <c r="AG134" s="156"/>
      <c r="AH134" s="156"/>
      <c r="AI134" s="156"/>
    </row>
    <row r="135" spans="31:35" ht="12.75">
      <c r="AE135" s="156"/>
      <c r="AF135" s="156"/>
      <c r="AG135" s="156"/>
      <c r="AH135" s="156"/>
      <c r="AI135" s="156"/>
    </row>
    <row r="136" spans="31:35" ht="12.75">
      <c r="AE136" s="156"/>
      <c r="AF136" s="156"/>
      <c r="AG136" s="156"/>
      <c r="AH136" s="156"/>
      <c r="AI136" s="156"/>
    </row>
    <row r="137" spans="31:35" ht="12.75">
      <c r="AE137" s="156"/>
      <c r="AF137" s="156"/>
      <c r="AG137" s="156"/>
      <c r="AH137" s="156"/>
      <c r="AI137" s="156"/>
    </row>
    <row r="138" spans="31:35" ht="12.75">
      <c r="AE138" s="156"/>
      <c r="AF138" s="156"/>
      <c r="AG138" s="156"/>
      <c r="AH138" s="156"/>
      <c r="AI138" s="156"/>
    </row>
    <row r="139" spans="31:35" ht="12.75">
      <c r="AE139" s="156"/>
      <c r="AF139" s="156"/>
      <c r="AG139" s="156"/>
      <c r="AH139" s="156"/>
      <c r="AI139" s="156"/>
    </row>
    <row r="140" spans="31:35" ht="12.75">
      <c r="AE140" s="156"/>
      <c r="AF140" s="156"/>
      <c r="AG140" s="156"/>
      <c r="AH140" s="156"/>
      <c r="AI140" s="156"/>
    </row>
    <row r="141" spans="31:35" ht="12.75">
      <c r="AE141" s="156"/>
      <c r="AF141" s="156"/>
      <c r="AG141" s="156"/>
      <c r="AH141" s="156"/>
      <c r="AI141" s="156"/>
    </row>
    <row r="142" spans="31:35" ht="12.75">
      <c r="AE142" s="156"/>
      <c r="AF142" s="156"/>
      <c r="AG142" s="156"/>
      <c r="AH142" s="156"/>
      <c r="AI142" s="156"/>
    </row>
    <row r="143" spans="31:35" ht="12.75">
      <c r="AE143" s="156"/>
      <c r="AF143" s="156"/>
      <c r="AG143" s="156"/>
      <c r="AH143" s="156"/>
      <c r="AI143" s="156"/>
    </row>
    <row r="144" spans="31:35" ht="12.75">
      <c r="AE144" s="156"/>
      <c r="AF144" s="156"/>
      <c r="AG144" s="156"/>
      <c r="AH144" s="156"/>
      <c r="AI144" s="156"/>
    </row>
    <row r="145" spans="31:35" ht="12.75">
      <c r="AE145" s="156"/>
      <c r="AF145" s="156"/>
      <c r="AG145" s="156"/>
      <c r="AH145" s="156"/>
      <c r="AI145" s="156"/>
    </row>
    <row r="146" spans="31:35" ht="12.75">
      <c r="AE146" s="156"/>
      <c r="AF146" s="156"/>
      <c r="AG146" s="156"/>
      <c r="AH146" s="156"/>
      <c r="AI146" s="156"/>
    </row>
    <row r="147" spans="31:35" ht="12.75">
      <c r="AE147" s="156"/>
      <c r="AF147" s="156"/>
      <c r="AG147" s="156"/>
      <c r="AH147" s="156"/>
      <c r="AI147" s="156"/>
    </row>
    <row r="148" spans="31:35" ht="12.75">
      <c r="AE148" s="156"/>
      <c r="AF148" s="156"/>
      <c r="AG148" s="156"/>
      <c r="AH148" s="156"/>
      <c r="AI148" s="156"/>
    </row>
    <row r="149" spans="31:35" ht="12.75">
      <c r="AE149" s="156"/>
      <c r="AF149" s="156"/>
      <c r="AG149" s="156"/>
      <c r="AH149" s="156"/>
      <c r="AI149" s="156"/>
    </row>
    <row r="150" spans="31:35" ht="12.75">
      <c r="AE150" s="156"/>
      <c r="AF150" s="156"/>
      <c r="AG150" s="156"/>
      <c r="AH150" s="156"/>
      <c r="AI150" s="156"/>
    </row>
    <row r="151" spans="31:35" ht="12.75">
      <c r="AE151" s="156"/>
      <c r="AF151" s="156"/>
      <c r="AG151" s="156"/>
      <c r="AH151" s="156"/>
      <c r="AI151" s="156"/>
    </row>
    <row r="152" spans="31:35" ht="12.75">
      <c r="AE152" s="156"/>
      <c r="AF152" s="156"/>
      <c r="AG152" s="156"/>
      <c r="AH152" s="156"/>
      <c r="AI152" s="156"/>
    </row>
    <row r="153" spans="31:35" ht="12.75">
      <c r="AE153" s="156"/>
      <c r="AF153" s="156"/>
      <c r="AG153" s="156"/>
      <c r="AH153" s="156"/>
      <c r="AI153" s="156"/>
    </row>
    <row r="154" spans="31:35" ht="12.75">
      <c r="AE154" s="156"/>
      <c r="AF154" s="156"/>
      <c r="AG154" s="156"/>
      <c r="AH154" s="156"/>
      <c r="AI154" s="156"/>
    </row>
    <row r="155" spans="31:35" ht="12.75">
      <c r="AE155" s="156"/>
      <c r="AF155" s="156"/>
      <c r="AG155" s="156"/>
      <c r="AH155" s="156"/>
      <c r="AI155" s="156"/>
    </row>
    <row r="156" spans="31:35" ht="12.75">
      <c r="AE156" s="156"/>
      <c r="AF156" s="156"/>
      <c r="AG156" s="156"/>
      <c r="AH156" s="156"/>
      <c r="AI156" s="156"/>
    </row>
    <row r="157" spans="31:35" ht="12.75">
      <c r="AE157" s="156"/>
      <c r="AF157" s="156"/>
      <c r="AG157" s="156"/>
      <c r="AH157" s="156"/>
      <c r="AI157" s="156"/>
    </row>
    <row r="158" spans="31:35" ht="12.75">
      <c r="AE158" s="156"/>
      <c r="AF158" s="156"/>
      <c r="AG158" s="156"/>
      <c r="AH158" s="156"/>
      <c r="AI158" s="156"/>
    </row>
    <row r="159" spans="31:35" ht="12.75">
      <c r="AE159" s="156"/>
      <c r="AF159" s="156"/>
      <c r="AG159" s="156"/>
      <c r="AH159" s="156"/>
      <c r="AI159" s="156"/>
    </row>
    <row r="160" spans="31:35" ht="12.75">
      <c r="AE160" s="156"/>
      <c r="AF160" s="156"/>
      <c r="AG160" s="156"/>
      <c r="AH160" s="156"/>
      <c r="AI160" s="156"/>
    </row>
    <row r="161" spans="31:35" ht="12.75">
      <c r="AE161" s="156"/>
      <c r="AF161" s="156"/>
      <c r="AG161" s="156"/>
      <c r="AH161" s="156"/>
      <c r="AI161" s="156"/>
    </row>
    <row r="162" spans="31:35" ht="12.75">
      <c r="AE162" s="156"/>
      <c r="AF162" s="156"/>
      <c r="AG162" s="156"/>
      <c r="AH162" s="156"/>
      <c r="AI162" s="156"/>
    </row>
    <row r="163" spans="31:35" ht="12.75">
      <c r="AE163" s="156"/>
      <c r="AF163" s="156"/>
      <c r="AG163" s="156"/>
      <c r="AH163" s="156"/>
      <c r="AI163" s="156"/>
    </row>
    <row r="164" spans="31:35" ht="12.75">
      <c r="AE164" s="156"/>
      <c r="AF164" s="156"/>
      <c r="AG164" s="156"/>
      <c r="AH164" s="156"/>
      <c r="AI164" s="156"/>
    </row>
    <row r="165" spans="31:35" ht="12.75">
      <c r="AE165" s="156"/>
      <c r="AF165" s="156"/>
      <c r="AG165" s="156"/>
      <c r="AH165" s="156"/>
      <c r="AI165" s="156"/>
    </row>
    <row r="166" spans="31:35" ht="12.75">
      <c r="AE166" s="156"/>
      <c r="AF166" s="156"/>
      <c r="AG166" s="156"/>
      <c r="AH166" s="156"/>
      <c r="AI166" s="156"/>
    </row>
    <row r="167" spans="31:35" ht="12.75">
      <c r="AE167" s="156"/>
      <c r="AF167" s="156"/>
      <c r="AG167" s="156"/>
      <c r="AH167" s="156"/>
      <c r="AI167" s="156"/>
    </row>
    <row r="168" spans="31:35" ht="12.75">
      <c r="AE168" s="156"/>
      <c r="AF168" s="156"/>
      <c r="AG168" s="156"/>
      <c r="AH168" s="156"/>
      <c r="AI168" s="156"/>
    </row>
    <row r="169" spans="31:35" ht="12.75">
      <c r="AE169" s="156"/>
      <c r="AF169" s="156"/>
      <c r="AG169" s="156"/>
      <c r="AH169" s="156"/>
      <c r="AI169" s="156"/>
    </row>
    <row r="170" spans="31:35" ht="12.75">
      <c r="AE170" s="156"/>
      <c r="AF170" s="156"/>
      <c r="AG170" s="156"/>
      <c r="AH170" s="156"/>
      <c r="AI170" s="156"/>
    </row>
    <row r="171" spans="31:35" ht="12.75">
      <c r="AE171" s="156"/>
      <c r="AF171" s="156"/>
      <c r="AG171" s="156"/>
      <c r="AH171" s="156"/>
      <c r="AI171" s="156"/>
    </row>
    <row r="172" spans="31:35" ht="12.75">
      <c r="AE172" s="156"/>
      <c r="AF172" s="156"/>
      <c r="AG172" s="156"/>
      <c r="AH172" s="156"/>
      <c r="AI172" s="156"/>
    </row>
    <row r="173" spans="31:35" ht="12.75">
      <c r="AE173" s="156"/>
      <c r="AF173" s="156"/>
      <c r="AG173" s="156"/>
      <c r="AH173" s="156"/>
      <c r="AI173" s="156"/>
    </row>
    <row r="174" spans="31:35" ht="12.75">
      <c r="AE174" s="156"/>
      <c r="AF174" s="156"/>
      <c r="AG174" s="156"/>
      <c r="AH174" s="156"/>
      <c r="AI174" s="156"/>
    </row>
    <row r="175" spans="31:35" ht="12.75">
      <c r="AE175" s="156"/>
      <c r="AF175" s="156"/>
      <c r="AG175" s="156"/>
      <c r="AH175" s="156"/>
      <c r="AI175" s="156"/>
    </row>
    <row r="176" spans="31:35" ht="12.75">
      <c r="AE176" s="156"/>
      <c r="AF176" s="156"/>
      <c r="AG176" s="156"/>
      <c r="AH176" s="156"/>
      <c r="AI176" s="156"/>
    </row>
    <row r="177" spans="31:35" ht="12.75">
      <c r="AE177" s="156"/>
      <c r="AF177" s="156"/>
      <c r="AG177" s="156"/>
      <c r="AH177" s="156"/>
      <c r="AI177" s="156"/>
    </row>
    <row r="178" spans="31:35" ht="12.75">
      <c r="AE178" s="156"/>
      <c r="AF178" s="156"/>
      <c r="AG178" s="156"/>
      <c r="AH178" s="156"/>
      <c r="AI178" s="156"/>
    </row>
    <row r="179" spans="31:35" ht="12.75">
      <c r="AE179" s="156"/>
      <c r="AF179" s="156"/>
      <c r="AG179" s="156"/>
      <c r="AH179" s="156"/>
      <c r="AI179" s="156"/>
    </row>
    <row r="180" spans="31:35" ht="12.75">
      <c r="AE180" s="156"/>
      <c r="AF180" s="156"/>
      <c r="AG180" s="156"/>
      <c r="AH180" s="156"/>
      <c r="AI180" s="156"/>
    </row>
    <row r="181" spans="31:35" ht="12.75">
      <c r="AE181" s="156"/>
      <c r="AF181" s="156"/>
      <c r="AG181" s="156"/>
      <c r="AH181" s="156"/>
      <c r="AI181" s="156"/>
    </row>
    <row r="182" spans="31:35" ht="12.75">
      <c r="AE182" s="156"/>
      <c r="AF182" s="156"/>
      <c r="AG182" s="156"/>
      <c r="AH182" s="156"/>
      <c r="AI182" s="156"/>
    </row>
    <row r="183" spans="31:35" ht="12.75">
      <c r="AE183" s="156"/>
      <c r="AF183" s="156"/>
      <c r="AG183" s="156"/>
      <c r="AH183" s="156"/>
      <c r="AI183" s="156"/>
    </row>
    <row r="184" spans="31:35" ht="12.75">
      <c r="AE184" s="156"/>
      <c r="AF184" s="156"/>
      <c r="AG184" s="156"/>
      <c r="AH184" s="156"/>
      <c r="AI184" s="156"/>
    </row>
    <row r="185" spans="31:35" ht="12.75">
      <c r="AE185" s="156"/>
      <c r="AF185" s="156"/>
      <c r="AG185" s="156"/>
      <c r="AH185" s="156"/>
      <c r="AI185" s="156"/>
    </row>
    <row r="186" spans="31:35" ht="12.75">
      <c r="AE186" s="156"/>
      <c r="AF186" s="156"/>
      <c r="AG186" s="156"/>
      <c r="AH186" s="156"/>
      <c r="AI186" s="156"/>
    </row>
    <row r="187" spans="31:35" ht="12.75">
      <c r="AE187" s="156"/>
      <c r="AF187" s="156"/>
      <c r="AG187" s="156"/>
      <c r="AH187" s="156"/>
      <c r="AI187" s="156"/>
    </row>
    <row r="188" spans="31:35" ht="12.75">
      <c r="AE188" s="156"/>
      <c r="AF188" s="156"/>
      <c r="AG188" s="156"/>
      <c r="AH188" s="156"/>
      <c r="AI188" s="156"/>
    </row>
    <row r="189" spans="31:35" ht="12.75">
      <c r="AE189" s="156"/>
      <c r="AF189" s="156"/>
      <c r="AG189" s="156"/>
      <c r="AH189" s="156"/>
      <c r="AI189" s="156"/>
    </row>
    <row r="190" spans="31:35" ht="12.75">
      <c r="AE190" s="156"/>
      <c r="AF190" s="156"/>
      <c r="AG190" s="156"/>
      <c r="AH190" s="156"/>
      <c r="AI190" s="156"/>
    </row>
    <row r="191" spans="31:35" ht="12.75">
      <c r="AE191" s="156"/>
      <c r="AF191" s="156"/>
      <c r="AG191" s="156"/>
      <c r="AH191" s="156"/>
      <c r="AI191" s="156"/>
    </row>
    <row r="192" spans="31:35" ht="12.75">
      <c r="AE192" s="156"/>
      <c r="AF192" s="156"/>
      <c r="AG192" s="156"/>
      <c r="AH192" s="156"/>
      <c r="AI192" s="156"/>
    </row>
    <row r="193" spans="31:35" ht="12.75">
      <c r="AE193" s="156"/>
      <c r="AF193" s="156"/>
      <c r="AG193" s="156"/>
      <c r="AH193" s="156"/>
      <c r="AI193" s="156"/>
    </row>
    <row r="194" spans="31:35" ht="12.75">
      <c r="AE194" s="156"/>
      <c r="AF194" s="156"/>
      <c r="AG194" s="156"/>
      <c r="AH194" s="156"/>
      <c r="AI194" s="156"/>
    </row>
    <row r="195" spans="31:35" ht="12.75">
      <c r="AE195" s="156"/>
      <c r="AF195" s="156"/>
      <c r="AG195" s="156"/>
      <c r="AH195" s="156"/>
      <c r="AI195" s="156"/>
    </row>
    <row r="196" spans="31:35" ht="12.75">
      <c r="AE196" s="156"/>
      <c r="AF196" s="156"/>
      <c r="AG196" s="156"/>
      <c r="AH196" s="156"/>
      <c r="AI196" s="156"/>
    </row>
    <row r="197" spans="31:35" ht="12.75">
      <c r="AE197" s="156"/>
      <c r="AF197" s="156"/>
      <c r="AG197" s="156"/>
      <c r="AH197" s="156"/>
      <c r="AI197" s="156"/>
    </row>
    <row r="198" spans="31:35" ht="12.75">
      <c r="AE198" s="156"/>
      <c r="AF198" s="156"/>
      <c r="AG198" s="156"/>
      <c r="AH198" s="156"/>
      <c r="AI198" s="156"/>
    </row>
    <row r="199" spans="31:35" ht="12.75">
      <c r="AE199" s="156"/>
      <c r="AF199" s="156"/>
      <c r="AG199" s="156"/>
      <c r="AH199" s="156"/>
      <c r="AI199" s="156"/>
    </row>
    <row r="200" spans="31:35" ht="12.75">
      <c r="AE200" s="156"/>
      <c r="AF200" s="156"/>
      <c r="AG200" s="156"/>
      <c r="AH200" s="156"/>
      <c r="AI200" s="156"/>
    </row>
    <row r="201" spans="31:35" ht="12.75">
      <c r="AE201" s="156"/>
      <c r="AF201" s="156"/>
      <c r="AG201" s="156"/>
      <c r="AH201" s="156"/>
      <c r="AI201" s="156"/>
    </row>
    <row r="202" spans="31:35" ht="12.75">
      <c r="AE202" s="156"/>
      <c r="AF202" s="156"/>
      <c r="AG202" s="156"/>
      <c r="AH202" s="156"/>
      <c r="AI202" s="156"/>
    </row>
    <row r="203" spans="31:35" ht="12.75">
      <c r="AE203" s="156"/>
      <c r="AF203" s="156"/>
      <c r="AG203" s="156"/>
      <c r="AH203" s="156"/>
      <c r="AI203" s="156"/>
    </row>
    <row r="204" spans="31:35" ht="12.75">
      <c r="AE204" s="156"/>
      <c r="AF204" s="156"/>
      <c r="AG204" s="156"/>
      <c r="AH204" s="156"/>
      <c r="AI204" s="156"/>
    </row>
    <row r="205" spans="31:35" ht="12.75">
      <c r="AE205" s="156"/>
      <c r="AF205" s="156"/>
      <c r="AG205" s="156"/>
      <c r="AH205" s="156"/>
      <c r="AI205" s="156"/>
    </row>
    <row r="206" spans="31:35" ht="12.75">
      <c r="AE206" s="156"/>
      <c r="AF206" s="156"/>
      <c r="AG206" s="156"/>
      <c r="AH206" s="156"/>
      <c r="AI206" s="156"/>
    </row>
    <row r="207" spans="31:35" ht="12.75">
      <c r="AE207" s="156"/>
      <c r="AF207" s="156"/>
      <c r="AG207" s="156"/>
      <c r="AH207" s="156"/>
      <c r="AI207" s="156"/>
    </row>
    <row r="208" spans="31:35" ht="12.75">
      <c r="AE208" s="156"/>
      <c r="AF208" s="156"/>
      <c r="AG208" s="156"/>
      <c r="AH208" s="156"/>
      <c r="AI208" s="156"/>
    </row>
    <row r="209" spans="31:35" ht="12.75">
      <c r="AE209" s="156"/>
      <c r="AF209" s="156"/>
      <c r="AG209" s="156"/>
      <c r="AH209" s="156"/>
      <c r="AI209" s="156"/>
    </row>
    <row r="210" spans="31:35" ht="12.75">
      <c r="AE210" s="156"/>
      <c r="AF210" s="156"/>
      <c r="AG210" s="156"/>
      <c r="AH210" s="156"/>
      <c r="AI210" s="156"/>
    </row>
    <row r="211" spans="31:35" ht="12.75">
      <c r="AE211" s="156"/>
      <c r="AF211" s="156"/>
      <c r="AG211" s="156"/>
      <c r="AH211" s="156"/>
      <c r="AI211" s="156"/>
    </row>
    <row r="212" spans="31:35" ht="12.75">
      <c r="AE212" s="156"/>
      <c r="AF212" s="156"/>
      <c r="AG212" s="156"/>
      <c r="AH212" s="156"/>
      <c r="AI212" s="156"/>
    </row>
    <row r="213" spans="31:35" ht="12.75">
      <c r="AE213" s="156"/>
      <c r="AF213" s="156"/>
      <c r="AG213" s="156"/>
      <c r="AH213" s="156"/>
      <c r="AI213" s="156"/>
    </row>
    <row r="214" spans="31:35" ht="12.75">
      <c r="AE214" s="156"/>
      <c r="AF214" s="156"/>
      <c r="AG214" s="156"/>
      <c r="AH214" s="156"/>
      <c r="AI214" s="156"/>
    </row>
    <row r="215" spans="31:35" ht="12.75">
      <c r="AE215" s="156"/>
      <c r="AF215" s="156"/>
      <c r="AG215" s="156"/>
      <c r="AH215" s="156"/>
      <c r="AI215" s="156"/>
    </row>
    <row r="216" spans="31:35" ht="12.75">
      <c r="AE216" s="156"/>
      <c r="AF216" s="156"/>
      <c r="AG216" s="156"/>
      <c r="AH216" s="156"/>
      <c r="AI216" s="156"/>
    </row>
    <row r="217" spans="31:35" ht="12.75">
      <c r="AE217" s="156"/>
      <c r="AF217" s="156"/>
      <c r="AG217" s="156"/>
      <c r="AH217" s="156"/>
      <c r="AI217" s="156"/>
    </row>
    <row r="218" spans="31:35" ht="12.75">
      <c r="AE218" s="156"/>
      <c r="AF218" s="156"/>
      <c r="AG218" s="156"/>
      <c r="AH218" s="156"/>
      <c r="AI218" s="156"/>
    </row>
  </sheetData>
  <sheetProtection/>
  <mergeCells count="9">
    <mergeCell ref="B1:C1"/>
    <mergeCell ref="E1:F1"/>
    <mergeCell ref="H1:I1"/>
    <mergeCell ref="K1:L1"/>
    <mergeCell ref="Z1:AA1"/>
    <mergeCell ref="N1:O1"/>
    <mergeCell ref="Q1:R1"/>
    <mergeCell ref="T1:U1"/>
    <mergeCell ref="W1:X1"/>
  </mergeCells>
  <printOptions/>
  <pageMargins left="0.75" right="0.75" top="1" bottom="1" header="0.5" footer="0.5"/>
  <pageSetup horizontalDpi="600" verticalDpi="600" orientation="portrait" paperSize="9" r:id="rId3"/>
  <legacyDrawing r:id="rId2"/>
</worksheet>
</file>

<file path=xl/worksheets/sheet9.xml><?xml version="1.0" encoding="utf-8"?>
<worksheet xmlns="http://schemas.openxmlformats.org/spreadsheetml/2006/main" xmlns:r="http://schemas.openxmlformats.org/officeDocument/2006/relationships">
  <dimension ref="A1:AI172"/>
  <sheetViews>
    <sheetView zoomScalePageLayoutView="0" workbookViewId="0" topLeftCell="A1">
      <pane xSplit="1" ySplit="2" topLeftCell="B21" activePane="bottomRight" state="frozen"/>
      <selection pane="topLeft" activeCell="A1" sqref="A1"/>
      <selection pane="topRight" activeCell="B1" sqref="B1"/>
      <selection pane="bottomLeft" activeCell="A3" sqref="A3"/>
      <selection pane="bottomRight" activeCell="AG91" sqref="AG91"/>
    </sheetView>
  </sheetViews>
  <sheetFormatPr defaultColWidth="9.140625" defaultRowHeight="12.75"/>
  <cols>
    <col min="2" max="30" width="9.140625" style="133" customWidth="1"/>
    <col min="31" max="31" width="10.421875" style="442" customWidth="1"/>
    <col min="32" max="33" width="9.140625" style="133" customWidth="1"/>
    <col min="34" max="34" width="9.140625" style="527" customWidth="1"/>
    <col min="35" max="35" width="9.140625" style="531" customWidth="1"/>
    <col min="36" max="16384" width="9.140625" style="133" customWidth="1"/>
  </cols>
  <sheetData>
    <row r="1" spans="2:34" ht="35.25" customHeight="1">
      <c r="B1" s="804" t="s">
        <v>48</v>
      </c>
      <c r="C1" s="804"/>
      <c r="D1" s="134" t="s">
        <v>61</v>
      </c>
      <c r="E1" s="804" t="s">
        <v>49</v>
      </c>
      <c r="F1" s="804"/>
      <c r="G1" s="134"/>
      <c r="H1" s="804" t="s">
        <v>50</v>
      </c>
      <c r="I1" s="804"/>
      <c r="J1" s="134"/>
      <c r="K1" s="804" t="s">
        <v>51</v>
      </c>
      <c r="L1" s="804"/>
      <c r="M1" s="134">
        <v>30</v>
      </c>
      <c r="N1" s="804" t="s">
        <v>52</v>
      </c>
      <c r="O1" s="804"/>
      <c r="P1" s="134">
        <v>10</v>
      </c>
      <c r="Q1" s="804" t="s">
        <v>53</v>
      </c>
      <c r="R1" s="804"/>
      <c r="S1" s="134">
        <v>30</v>
      </c>
      <c r="T1" s="804" t="s">
        <v>54</v>
      </c>
      <c r="U1" s="804"/>
      <c r="V1" s="134">
        <v>10</v>
      </c>
      <c r="W1" s="804" t="s">
        <v>55</v>
      </c>
      <c r="X1" s="804"/>
      <c r="Y1" s="134">
        <v>10</v>
      </c>
      <c r="Z1" s="804" t="s">
        <v>56</v>
      </c>
      <c r="AA1" s="804"/>
      <c r="AB1" s="134">
        <v>10</v>
      </c>
      <c r="AC1" s="156" t="s">
        <v>410</v>
      </c>
      <c r="AD1" s="133">
        <v>110</v>
      </c>
      <c r="AF1" s="524">
        <v>40</v>
      </c>
      <c r="AG1" s="524">
        <v>50</v>
      </c>
      <c r="AH1" s="524">
        <v>10</v>
      </c>
    </row>
    <row r="2" spans="1:35" ht="51">
      <c r="A2" s="53" t="s">
        <v>810</v>
      </c>
      <c r="B2" s="135" t="s">
        <v>57</v>
      </c>
      <c r="C2" s="135" t="s">
        <v>58</v>
      </c>
      <c r="D2" s="135">
        <f>MAX(B3:B87)</f>
        <v>44</v>
      </c>
      <c r="E2" s="135" t="s">
        <v>57</v>
      </c>
      <c r="F2" s="135" t="s">
        <v>58</v>
      </c>
      <c r="G2" s="135">
        <f>MAX(E3:E87)</f>
        <v>32.4</v>
      </c>
      <c r="H2" s="135" t="s">
        <v>57</v>
      </c>
      <c r="I2" s="135" t="s">
        <v>58</v>
      </c>
      <c r="J2" s="135">
        <f>MAX(H3:H87)</f>
        <v>44</v>
      </c>
      <c r="K2" s="135" t="s">
        <v>57</v>
      </c>
      <c r="L2" s="135" t="s">
        <v>58</v>
      </c>
      <c r="M2" s="135">
        <f>MAX(K3:K87)</f>
        <v>63.75</v>
      </c>
      <c r="N2" s="135" t="s">
        <v>57</v>
      </c>
      <c r="O2" s="135" t="s">
        <v>58</v>
      </c>
      <c r="P2" s="135">
        <f>MAX(N3:N87)</f>
        <v>112</v>
      </c>
      <c r="Q2" s="135" t="s">
        <v>57</v>
      </c>
      <c r="R2" s="135" t="s">
        <v>58</v>
      </c>
      <c r="S2" s="135">
        <f>MAX(Q3:Q87)</f>
        <v>187</v>
      </c>
      <c r="T2" s="135" t="s">
        <v>57</v>
      </c>
      <c r="U2" s="135" t="s">
        <v>58</v>
      </c>
      <c r="V2" s="135">
        <f>MAX(T3:T87)</f>
        <v>8</v>
      </c>
      <c r="W2" s="135" t="s">
        <v>57</v>
      </c>
      <c r="X2" s="135" t="s">
        <v>58</v>
      </c>
      <c r="Y2" s="135">
        <f>MAX(W3:W87)</f>
        <v>10</v>
      </c>
      <c r="Z2" s="135" t="s">
        <v>57</v>
      </c>
      <c r="AA2" s="135" t="s">
        <v>58</v>
      </c>
      <c r="AB2" s="135">
        <f>MAX(Z3:Z87)</f>
        <v>58</v>
      </c>
      <c r="AC2" s="136" t="s">
        <v>59</v>
      </c>
      <c r="AD2" s="136" t="s">
        <v>60</v>
      </c>
      <c r="AE2" s="443" t="s">
        <v>581</v>
      </c>
      <c r="AF2" s="525" t="s">
        <v>411</v>
      </c>
      <c r="AG2" s="525" t="s">
        <v>412</v>
      </c>
      <c r="AH2" s="525" t="s">
        <v>413</v>
      </c>
      <c r="AI2" s="533" t="s">
        <v>417</v>
      </c>
    </row>
    <row r="3" spans="1:35" ht="12.75">
      <c r="A3" s="164">
        <v>1</v>
      </c>
      <c r="B3" s="140">
        <v>4</v>
      </c>
      <c r="C3" s="140">
        <v>0.2</v>
      </c>
      <c r="D3" s="141">
        <f>B3/$D$2</f>
        <v>0.09090909090909091</v>
      </c>
      <c r="E3" s="140">
        <v>10</v>
      </c>
      <c r="F3" s="140">
        <v>0.25</v>
      </c>
      <c r="G3" s="141">
        <f>E3/$G$2</f>
        <v>0.308641975308642</v>
      </c>
      <c r="H3" s="140">
        <v>0</v>
      </c>
      <c r="I3" s="140">
        <v>0</v>
      </c>
      <c r="J3" s="141">
        <f>H3/$J$2</f>
        <v>0</v>
      </c>
      <c r="K3" s="140">
        <v>42.5</v>
      </c>
      <c r="L3" s="140">
        <v>12.75</v>
      </c>
      <c r="M3" s="141">
        <f>K3/$M$2</f>
        <v>0.6666666666666666</v>
      </c>
      <c r="N3" s="140">
        <v>0</v>
      </c>
      <c r="O3" s="140">
        <v>0</v>
      </c>
      <c r="P3" s="141">
        <f>N3/$P$2</f>
        <v>0</v>
      </c>
      <c r="Q3" s="140">
        <v>0</v>
      </c>
      <c r="R3" s="140">
        <v>0</v>
      </c>
      <c r="S3" s="141">
        <f>Q3/$S$2</f>
        <v>0</v>
      </c>
      <c r="T3" s="140">
        <v>0</v>
      </c>
      <c r="U3" s="140">
        <v>0</v>
      </c>
      <c r="V3" s="141">
        <f>T3/$V$2</f>
        <v>0</v>
      </c>
      <c r="W3" s="140">
        <v>0</v>
      </c>
      <c r="X3" s="140">
        <v>0</v>
      </c>
      <c r="Y3" s="141">
        <f>W3/$Y$2</f>
        <v>0</v>
      </c>
      <c r="Z3" s="140">
        <v>51.5</v>
      </c>
      <c r="AA3" s="140">
        <v>5.15</v>
      </c>
      <c r="AB3" s="141">
        <f>Z3/$AB$2</f>
        <v>0.8879310344827587</v>
      </c>
      <c r="AC3" s="142">
        <v>108</v>
      </c>
      <c r="AD3" s="143">
        <v>18.35</v>
      </c>
      <c r="AE3" s="444">
        <f>AD3/110</f>
        <v>0.16681818181818184</v>
      </c>
      <c r="AF3" s="526">
        <f>(AD3-(L3+O3))/70</f>
        <v>0.08000000000000002</v>
      </c>
      <c r="AG3" s="526"/>
      <c r="AH3" s="526"/>
      <c r="AI3" s="532">
        <f>AF3+AG3+AH3</f>
        <v>0.08000000000000002</v>
      </c>
    </row>
    <row r="4" spans="1:35" ht="12.75">
      <c r="A4" s="164">
        <v>2</v>
      </c>
      <c r="B4" s="140">
        <v>5</v>
      </c>
      <c r="C4" s="140">
        <v>0.25</v>
      </c>
      <c r="D4" s="141">
        <f aca="true" t="shared" si="0" ref="D4:D72">B4/$D$2</f>
        <v>0.11363636363636363</v>
      </c>
      <c r="E4" s="140">
        <v>20</v>
      </c>
      <c r="F4" s="140">
        <v>0.5</v>
      </c>
      <c r="G4" s="141">
        <f aca="true" t="shared" si="1" ref="G4:G72">E4/$G$2</f>
        <v>0.617283950617284</v>
      </c>
      <c r="H4" s="140">
        <v>0</v>
      </c>
      <c r="I4" s="140">
        <v>0</v>
      </c>
      <c r="J4" s="141">
        <f aca="true" t="shared" si="2" ref="J4:J72">H4/$J$2</f>
        <v>0</v>
      </c>
      <c r="K4" s="140">
        <v>42.5</v>
      </c>
      <c r="L4" s="140">
        <v>12.75</v>
      </c>
      <c r="M4" s="141">
        <f aca="true" t="shared" si="3" ref="M4:M72">K4/$M$2</f>
        <v>0.6666666666666666</v>
      </c>
      <c r="N4" s="140">
        <v>0</v>
      </c>
      <c r="O4" s="140">
        <v>0</v>
      </c>
      <c r="P4" s="141">
        <f aca="true" t="shared" si="4" ref="P4:P72">N4/$P$2</f>
        <v>0</v>
      </c>
      <c r="Q4" s="140">
        <v>18</v>
      </c>
      <c r="R4" s="140">
        <v>5.4</v>
      </c>
      <c r="S4" s="141">
        <f aca="true" t="shared" si="5" ref="S4:S72">Q4/$S$2</f>
        <v>0.0962566844919786</v>
      </c>
      <c r="T4" s="140">
        <v>0</v>
      </c>
      <c r="U4" s="140">
        <v>0</v>
      </c>
      <c r="V4" s="141">
        <f aca="true" t="shared" si="6" ref="V4:V72">T4/$V$2</f>
        <v>0</v>
      </c>
      <c r="W4" s="140">
        <v>0</v>
      </c>
      <c r="X4" s="140">
        <v>0</v>
      </c>
      <c r="Y4" s="141">
        <f aca="true" t="shared" si="7" ref="Y4:Y72">W4/$Y$2</f>
        <v>0</v>
      </c>
      <c r="Z4" s="140">
        <v>0</v>
      </c>
      <c r="AA4" s="140">
        <v>0</v>
      </c>
      <c r="AB4" s="141">
        <f aca="true" t="shared" si="8" ref="AB4:AB72">Z4/$AB$2</f>
        <v>0</v>
      </c>
      <c r="AC4" s="142">
        <v>85.5</v>
      </c>
      <c r="AD4" s="143">
        <v>18.9</v>
      </c>
      <c r="AE4" s="444">
        <f aca="true" t="shared" si="9" ref="AE4:AE67">AD4/110</f>
        <v>0.17181818181818181</v>
      </c>
      <c r="AF4" s="526">
        <f aca="true" t="shared" si="10" ref="AF4:AF67">(AD4-(L4+O4))/70</f>
        <v>0.08785714285714284</v>
      </c>
      <c r="AG4" s="526"/>
      <c r="AH4" s="526"/>
      <c r="AI4" s="532">
        <f aca="true" t="shared" si="11" ref="AI4:AI67">AF4+AG4+AH4</f>
        <v>0.08785714285714284</v>
      </c>
    </row>
    <row r="5" spans="1:35" ht="12.75">
      <c r="A5" s="164">
        <v>3</v>
      </c>
      <c r="B5" s="140">
        <v>0</v>
      </c>
      <c r="C5" s="140">
        <v>0</v>
      </c>
      <c r="D5" s="141">
        <f t="shared" si="0"/>
        <v>0</v>
      </c>
      <c r="E5" s="140">
        <v>20</v>
      </c>
      <c r="F5" s="140">
        <v>0.5</v>
      </c>
      <c r="G5" s="141">
        <f t="shared" si="1"/>
        <v>0.617283950617284</v>
      </c>
      <c r="H5" s="140">
        <v>40</v>
      </c>
      <c r="I5" s="140">
        <v>1</v>
      </c>
      <c r="J5" s="141">
        <f t="shared" si="2"/>
        <v>0.9090909090909091</v>
      </c>
      <c r="K5" s="140">
        <v>42.5</v>
      </c>
      <c r="L5" s="140">
        <v>12.75</v>
      </c>
      <c r="M5" s="141">
        <f t="shared" si="3"/>
        <v>0.6666666666666666</v>
      </c>
      <c r="N5" s="140">
        <v>0</v>
      </c>
      <c r="O5" s="140">
        <v>0</v>
      </c>
      <c r="P5" s="141">
        <f t="shared" si="4"/>
        <v>0</v>
      </c>
      <c r="Q5" s="140">
        <v>18</v>
      </c>
      <c r="R5" s="140">
        <v>5.4</v>
      </c>
      <c r="S5" s="141">
        <f t="shared" si="5"/>
        <v>0.0962566844919786</v>
      </c>
      <c r="T5" s="140">
        <v>0</v>
      </c>
      <c r="U5" s="140">
        <v>0</v>
      </c>
      <c r="V5" s="141">
        <f t="shared" si="6"/>
        <v>0</v>
      </c>
      <c r="W5" s="140">
        <v>0</v>
      </c>
      <c r="X5" s="140">
        <v>0</v>
      </c>
      <c r="Y5" s="141">
        <f t="shared" si="7"/>
        <v>0</v>
      </c>
      <c r="Z5" s="140">
        <v>0</v>
      </c>
      <c r="AA5" s="140">
        <v>0</v>
      </c>
      <c r="AB5" s="141">
        <f t="shared" si="8"/>
        <v>0</v>
      </c>
      <c r="AC5" s="142">
        <v>120.5</v>
      </c>
      <c r="AD5" s="143">
        <v>19.65</v>
      </c>
      <c r="AE5" s="444">
        <f t="shared" si="9"/>
        <v>0.17863636363636362</v>
      </c>
      <c r="AF5" s="526">
        <f t="shared" si="10"/>
        <v>0.09857142857142855</v>
      </c>
      <c r="AG5" s="526"/>
      <c r="AH5" s="526"/>
      <c r="AI5" s="532">
        <f t="shared" si="11"/>
        <v>0.09857142857142855</v>
      </c>
    </row>
    <row r="6" spans="1:35" ht="12.75">
      <c r="A6" s="164">
        <v>4</v>
      </c>
      <c r="B6" s="145">
        <v>0</v>
      </c>
      <c r="C6" s="145">
        <v>0</v>
      </c>
      <c r="D6" s="141">
        <f t="shared" si="0"/>
        <v>0</v>
      </c>
      <c r="E6" s="145">
        <v>0</v>
      </c>
      <c r="F6" s="145">
        <v>0</v>
      </c>
      <c r="G6" s="141">
        <f t="shared" si="1"/>
        <v>0</v>
      </c>
      <c r="H6" s="145">
        <v>0</v>
      </c>
      <c r="I6" s="145">
        <v>0</v>
      </c>
      <c r="J6" s="141">
        <f t="shared" si="2"/>
        <v>0</v>
      </c>
      <c r="K6" s="145">
        <v>0</v>
      </c>
      <c r="L6" s="145">
        <v>0</v>
      </c>
      <c r="M6" s="141">
        <f t="shared" si="3"/>
        <v>0</v>
      </c>
      <c r="N6" s="145">
        <v>0</v>
      </c>
      <c r="O6" s="145">
        <v>0</v>
      </c>
      <c r="P6" s="141">
        <f t="shared" si="4"/>
        <v>0</v>
      </c>
      <c r="Q6" s="145">
        <v>0</v>
      </c>
      <c r="R6" s="145">
        <v>0</v>
      </c>
      <c r="S6" s="141">
        <f t="shared" si="5"/>
        <v>0</v>
      </c>
      <c r="T6" s="145">
        <v>0</v>
      </c>
      <c r="U6" s="145">
        <v>0</v>
      </c>
      <c r="V6" s="141">
        <f t="shared" si="6"/>
        <v>0</v>
      </c>
      <c r="W6" s="145">
        <v>0</v>
      </c>
      <c r="X6" s="145">
        <v>0</v>
      </c>
      <c r="Y6" s="141">
        <f t="shared" si="7"/>
        <v>0</v>
      </c>
      <c r="Z6" s="145">
        <v>0</v>
      </c>
      <c r="AA6" s="145">
        <v>0</v>
      </c>
      <c r="AB6" s="141">
        <f t="shared" si="8"/>
        <v>0</v>
      </c>
      <c r="AC6" s="142">
        <v>0</v>
      </c>
      <c r="AD6" s="143">
        <v>0</v>
      </c>
      <c r="AE6" s="444">
        <f t="shared" si="9"/>
        <v>0</v>
      </c>
      <c r="AF6" s="526">
        <f t="shared" si="10"/>
        <v>0</v>
      </c>
      <c r="AG6" s="526"/>
      <c r="AH6" s="526"/>
      <c r="AI6" s="532">
        <f t="shared" si="11"/>
        <v>0</v>
      </c>
    </row>
    <row r="7" spans="1:35" ht="12.75">
      <c r="A7" s="164">
        <v>5</v>
      </c>
      <c r="B7" s="147">
        <v>3</v>
      </c>
      <c r="C7" s="147">
        <v>0.15</v>
      </c>
      <c r="D7" s="141">
        <f t="shared" si="0"/>
        <v>0.06818181818181818</v>
      </c>
      <c r="E7" s="147">
        <v>10</v>
      </c>
      <c r="F7" s="147">
        <v>0.25</v>
      </c>
      <c r="G7" s="141">
        <f t="shared" si="1"/>
        <v>0.308641975308642</v>
      </c>
      <c r="H7" s="147">
        <v>0</v>
      </c>
      <c r="I7" s="147">
        <v>0</v>
      </c>
      <c r="J7" s="141">
        <f t="shared" si="2"/>
        <v>0</v>
      </c>
      <c r="K7" s="147">
        <v>42.5</v>
      </c>
      <c r="L7" s="147">
        <v>12.75</v>
      </c>
      <c r="M7" s="141">
        <f t="shared" si="3"/>
        <v>0.6666666666666666</v>
      </c>
      <c r="N7" s="147">
        <v>0</v>
      </c>
      <c r="O7" s="147">
        <v>0</v>
      </c>
      <c r="P7" s="141">
        <f t="shared" si="4"/>
        <v>0</v>
      </c>
      <c r="Q7" s="147">
        <v>0</v>
      </c>
      <c r="R7" s="147">
        <v>0</v>
      </c>
      <c r="S7" s="141">
        <f t="shared" si="5"/>
        <v>0</v>
      </c>
      <c r="T7" s="140">
        <v>0</v>
      </c>
      <c r="U7" s="147">
        <v>0</v>
      </c>
      <c r="V7" s="141">
        <f t="shared" si="6"/>
        <v>0</v>
      </c>
      <c r="W7" s="147">
        <v>0</v>
      </c>
      <c r="X7" s="147">
        <v>0</v>
      </c>
      <c r="Y7" s="141">
        <f t="shared" si="7"/>
        <v>0</v>
      </c>
      <c r="Z7" s="147">
        <v>0</v>
      </c>
      <c r="AA7" s="147">
        <v>0</v>
      </c>
      <c r="AB7" s="141">
        <f t="shared" si="8"/>
        <v>0</v>
      </c>
      <c r="AC7" s="142">
        <v>55.5</v>
      </c>
      <c r="AD7" s="143">
        <v>13.15</v>
      </c>
      <c r="AE7" s="444">
        <f t="shared" si="9"/>
        <v>0.11954545454545455</v>
      </c>
      <c r="AF7" s="526">
        <f t="shared" si="10"/>
        <v>0.0057142857142857195</v>
      </c>
      <c r="AG7" s="526"/>
      <c r="AH7" s="526"/>
      <c r="AI7" s="532">
        <f t="shared" si="11"/>
        <v>0.0057142857142857195</v>
      </c>
    </row>
    <row r="8" spans="1:35" ht="12.75">
      <c r="A8" s="164">
        <v>6</v>
      </c>
      <c r="B8" s="140">
        <v>44</v>
      </c>
      <c r="C8" s="140">
        <v>2.2</v>
      </c>
      <c r="D8" s="141">
        <f t="shared" si="0"/>
        <v>1</v>
      </c>
      <c r="E8" s="140">
        <v>6</v>
      </c>
      <c r="F8" s="140">
        <v>0.15</v>
      </c>
      <c r="G8" s="141">
        <f t="shared" si="1"/>
        <v>0.1851851851851852</v>
      </c>
      <c r="H8" s="140">
        <v>0</v>
      </c>
      <c r="I8" s="140">
        <v>0</v>
      </c>
      <c r="J8" s="141">
        <f t="shared" si="2"/>
        <v>0</v>
      </c>
      <c r="K8" s="140">
        <v>0</v>
      </c>
      <c r="L8" s="140">
        <v>0</v>
      </c>
      <c r="M8" s="141">
        <f t="shared" si="3"/>
        <v>0</v>
      </c>
      <c r="N8" s="140">
        <v>0</v>
      </c>
      <c r="O8" s="140">
        <v>0</v>
      </c>
      <c r="P8" s="141">
        <f t="shared" si="4"/>
        <v>0</v>
      </c>
      <c r="Q8" s="140">
        <v>0</v>
      </c>
      <c r="R8" s="140">
        <v>0</v>
      </c>
      <c r="S8" s="141">
        <f t="shared" si="5"/>
        <v>0</v>
      </c>
      <c r="T8" s="140">
        <v>0</v>
      </c>
      <c r="U8" s="140">
        <v>0</v>
      </c>
      <c r="V8" s="141">
        <f t="shared" si="6"/>
        <v>0</v>
      </c>
      <c r="W8" s="140">
        <v>0</v>
      </c>
      <c r="X8" s="140">
        <v>0</v>
      </c>
      <c r="Y8" s="141">
        <f t="shared" si="7"/>
        <v>0</v>
      </c>
      <c r="Z8" s="140">
        <v>0</v>
      </c>
      <c r="AA8" s="140">
        <v>0</v>
      </c>
      <c r="AB8" s="141">
        <f t="shared" si="8"/>
        <v>0</v>
      </c>
      <c r="AC8" s="142">
        <v>50</v>
      </c>
      <c r="AD8" s="143">
        <v>2.35</v>
      </c>
      <c r="AE8" s="444">
        <f t="shared" si="9"/>
        <v>0.021363636363636366</v>
      </c>
      <c r="AF8" s="526">
        <f t="shared" si="10"/>
        <v>0.03357142857142857</v>
      </c>
      <c r="AG8" s="526"/>
      <c r="AH8" s="526"/>
      <c r="AI8" s="532">
        <f t="shared" si="11"/>
        <v>0.03357142857142857</v>
      </c>
    </row>
    <row r="9" spans="1:35" ht="12.75">
      <c r="A9" s="164" t="s">
        <v>808</v>
      </c>
      <c r="B9" s="140">
        <v>5</v>
      </c>
      <c r="C9" s="140">
        <v>0.25</v>
      </c>
      <c r="D9" s="141">
        <f t="shared" si="0"/>
        <v>0.11363636363636363</v>
      </c>
      <c r="E9" s="140">
        <v>2.5</v>
      </c>
      <c r="F9" s="140">
        <v>0.0625</v>
      </c>
      <c r="G9" s="141">
        <f t="shared" si="1"/>
        <v>0.0771604938271605</v>
      </c>
      <c r="H9" s="140">
        <v>0</v>
      </c>
      <c r="I9" s="140">
        <v>0</v>
      </c>
      <c r="J9" s="141">
        <f t="shared" si="2"/>
        <v>0</v>
      </c>
      <c r="K9" s="140">
        <v>40</v>
      </c>
      <c r="L9" s="140">
        <v>12</v>
      </c>
      <c r="M9" s="141">
        <f t="shared" si="3"/>
        <v>0.6274509803921569</v>
      </c>
      <c r="N9" s="140">
        <v>0</v>
      </c>
      <c r="O9" s="140">
        <v>0</v>
      </c>
      <c r="P9" s="141">
        <f t="shared" si="4"/>
        <v>0</v>
      </c>
      <c r="Q9" s="140">
        <v>0</v>
      </c>
      <c r="R9" s="140">
        <v>0</v>
      </c>
      <c r="S9" s="141">
        <f t="shared" si="5"/>
        <v>0</v>
      </c>
      <c r="T9" s="140">
        <v>0</v>
      </c>
      <c r="U9" s="140">
        <v>0</v>
      </c>
      <c r="V9" s="141">
        <f t="shared" si="6"/>
        <v>0</v>
      </c>
      <c r="W9" s="140">
        <v>0</v>
      </c>
      <c r="X9" s="140">
        <v>0</v>
      </c>
      <c r="Y9" s="141">
        <f t="shared" si="7"/>
        <v>0</v>
      </c>
      <c r="Z9" s="140">
        <v>0</v>
      </c>
      <c r="AA9" s="140">
        <v>0</v>
      </c>
      <c r="AB9" s="141">
        <f t="shared" si="8"/>
        <v>0</v>
      </c>
      <c r="AC9" s="142">
        <v>47.5</v>
      </c>
      <c r="AD9" s="143">
        <v>12.3125</v>
      </c>
      <c r="AE9" s="444">
        <f t="shared" si="9"/>
        <v>0.11193181818181819</v>
      </c>
      <c r="AF9" s="526">
        <f t="shared" si="10"/>
        <v>0.004464285714285714</v>
      </c>
      <c r="AG9" s="526"/>
      <c r="AH9" s="526"/>
      <c r="AI9" s="532">
        <f t="shared" si="11"/>
        <v>0.004464285714285714</v>
      </c>
    </row>
    <row r="10" spans="1:35" ht="12.75">
      <c r="A10" s="202" t="s">
        <v>809</v>
      </c>
      <c r="B10" s="140">
        <v>3</v>
      </c>
      <c r="C10" s="140">
        <v>0.15</v>
      </c>
      <c r="D10" s="141">
        <f t="shared" si="0"/>
        <v>0.06818181818181818</v>
      </c>
      <c r="E10" s="140">
        <v>0</v>
      </c>
      <c r="F10" s="140">
        <v>0</v>
      </c>
      <c r="G10" s="141">
        <f t="shared" si="1"/>
        <v>0</v>
      </c>
      <c r="H10" s="140">
        <v>0</v>
      </c>
      <c r="I10" s="140">
        <v>0</v>
      </c>
      <c r="J10" s="141">
        <f t="shared" si="2"/>
        <v>0</v>
      </c>
      <c r="K10" s="140">
        <v>0</v>
      </c>
      <c r="L10" s="140">
        <v>0</v>
      </c>
      <c r="M10" s="141">
        <f t="shared" si="3"/>
        <v>0</v>
      </c>
      <c r="N10" s="140">
        <v>0</v>
      </c>
      <c r="O10" s="140">
        <v>0</v>
      </c>
      <c r="P10" s="141">
        <f t="shared" si="4"/>
        <v>0</v>
      </c>
      <c r="Q10" s="140">
        <v>90</v>
      </c>
      <c r="R10" s="140">
        <v>27</v>
      </c>
      <c r="S10" s="141">
        <f t="shared" si="5"/>
        <v>0.48128342245989303</v>
      </c>
      <c r="T10" s="140">
        <v>0</v>
      </c>
      <c r="U10" s="140">
        <v>0</v>
      </c>
      <c r="V10" s="141">
        <f t="shared" si="6"/>
        <v>0</v>
      </c>
      <c r="W10" s="140">
        <v>0</v>
      </c>
      <c r="X10" s="140">
        <v>0</v>
      </c>
      <c r="Y10" s="141">
        <f t="shared" si="7"/>
        <v>0</v>
      </c>
      <c r="Z10" s="140">
        <v>0</v>
      </c>
      <c r="AA10" s="140">
        <v>0</v>
      </c>
      <c r="AB10" s="141">
        <f t="shared" si="8"/>
        <v>0</v>
      </c>
      <c r="AC10" s="142">
        <v>93</v>
      </c>
      <c r="AD10" s="143">
        <v>27.15</v>
      </c>
      <c r="AE10" s="444">
        <f t="shared" si="9"/>
        <v>0.2468181818181818</v>
      </c>
      <c r="AF10" s="526"/>
      <c r="AG10" s="528">
        <f>(AD10-(R10+U10+X10))/60</f>
        <v>0.002499999999999976</v>
      </c>
      <c r="AH10" s="526"/>
      <c r="AI10" s="532">
        <f t="shared" si="11"/>
        <v>0.002499999999999976</v>
      </c>
    </row>
    <row r="11" spans="1:35" ht="12.75">
      <c r="A11" s="164">
        <v>12</v>
      </c>
      <c r="B11" s="140">
        <v>3</v>
      </c>
      <c r="C11" s="140">
        <v>0.15</v>
      </c>
      <c r="D11" s="141">
        <f t="shared" si="0"/>
        <v>0.06818181818181818</v>
      </c>
      <c r="E11" s="140">
        <v>0</v>
      </c>
      <c r="F11" s="140">
        <v>0</v>
      </c>
      <c r="G11" s="141">
        <f t="shared" si="1"/>
        <v>0</v>
      </c>
      <c r="H11" s="140">
        <v>0</v>
      </c>
      <c r="I11" s="140">
        <v>0</v>
      </c>
      <c r="J11" s="141">
        <f t="shared" si="2"/>
        <v>0</v>
      </c>
      <c r="K11" s="140">
        <v>0</v>
      </c>
      <c r="L11" s="140">
        <v>0</v>
      </c>
      <c r="M11" s="141">
        <f t="shared" si="3"/>
        <v>0</v>
      </c>
      <c r="N11" s="140">
        <v>0</v>
      </c>
      <c r="O11" s="140">
        <v>0</v>
      </c>
      <c r="P11" s="141">
        <f t="shared" si="4"/>
        <v>0</v>
      </c>
      <c r="Q11" s="140">
        <v>90</v>
      </c>
      <c r="R11" s="140">
        <v>27</v>
      </c>
      <c r="S11" s="141">
        <f t="shared" si="5"/>
        <v>0.48128342245989303</v>
      </c>
      <c r="T11" s="140">
        <v>0</v>
      </c>
      <c r="U11" s="140">
        <v>0</v>
      </c>
      <c r="V11" s="141">
        <f t="shared" si="6"/>
        <v>0</v>
      </c>
      <c r="W11" s="140">
        <v>0</v>
      </c>
      <c r="X11" s="140">
        <v>0</v>
      </c>
      <c r="Y11" s="141">
        <f t="shared" si="7"/>
        <v>0</v>
      </c>
      <c r="Z11" s="140">
        <v>0</v>
      </c>
      <c r="AA11" s="140">
        <v>0</v>
      </c>
      <c r="AB11" s="141">
        <f t="shared" si="8"/>
        <v>0</v>
      </c>
      <c r="AC11" s="142">
        <v>93</v>
      </c>
      <c r="AD11" s="143">
        <v>27.15</v>
      </c>
      <c r="AE11" s="444">
        <f t="shared" si="9"/>
        <v>0.2468181818181818</v>
      </c>
      <c r="AF11" s="526">
        <f t="shared" si="10"/>
        <v>0.38785714285714284</v>
      </c>
      <c r="AG11" s="526"/>
      <c r="AH11" s="526"/>
      <c r="AI11" s="532">
        <f t="shared" si="11"/>
        <v>0.38785714285714284</v>
      </c>
    </row>
    <row r="12" spans="1:35" ht="12.75">
      <c r="A12" s="164">
        <v>15</v>
      </c>
      <c r="B12" s="140">
        <v>0</v>
      </c>
      <c r="C12" s="140">
        <v>0</v>
      </c>
      <c r="D12" s="141">
        <f t="shared" si="0"/>
        <v>0</v>
      </c>
      <c r="E12" s="140">
        <v>0</v>
      </c>
      <c r="F12" s="140">
        <v>0</v>
      </c>
      <c r="G12" s="141">
        <f t="shared" si="1"/>
        <v>0</v>
      </c>
      <c r="H12" s="140">
        <v>0</v>
      </c>
      <c r="I12" s="140">
        <v>0</v>
      </c>
      <c r="J12" s="141">
        <f t="shared" si="2"/>
        <v>0</v>
      </c>
      <c r="K12" s="140">
        <v>0</v>
      </c>
      <c r="L12" s="140">
        <v>0</v>
      </c>
      <c r="M12" s="141">
        <f t="shared" si="3"/>
        <v>0</v>
      </c>
      <c r="N12" s="140">
        <v>0</v>
      </c>
      <c r="O12" s="140">
        <v>0</v>
      </c>
      <c r="P12" s="141">
        <f t="shared" si="4"/>
        <v>0</v>
      </c>
      <c r="Q12" s="140">
        <v>0</v>
      </c>
      <c r="R12" s="140">
        <v>0</v>
      </c>
      <c r="S12" s="141">
        <f t="shared" si="5"/>
        <v>0</v>
      </c>
      <c r="T12" s="140">
        <v>0</v>
      </c>
      <c r="U12" s="140">
        <v>0</v>
      </c>
      <c r="V12" s="141">
        <f t="shared" si="6"/>
        <v>0</v>
      </c>
      <c r="W12" s="140">
        <v>0</v>
      </c>
      <c r="X12" s="140">
        <v>0</v>
      </c>
      <c r="Y12" s="141">
        <f t="shared" si="7"/>
        <v>0</v>
      </c>
      <c r="Z12" s="140">
        <v>0</v>
      </c>
      <c r="AA12" s="140">
        <v>0</v>
      </c>
      <c r="AB12" s="141">
        <f t="shared" si="8"/>
        <v>0</v>
      </c>
      <c r="AC12" s="142">
        <v>0</v>
      </c>
      <c r="AD12" s="143">
        <v>0</v>
      </c>
      <c r="AE12" s="444">
        <f t="shared" si="9"/>
        <v>0</v>
      </c>
      <c r="AF12" s="526">
        <f t="shared" si="10"/>
        <v>0</v>
      </c>
      <c r="AG12" s="526"/>
      <c r="AH12" s="526"/>
      <c r="AI12" s="532">
        <f t="shared" si="11"/>
        <v>0</v>
      </c>
    </row>
    <row r="13" spans="1:35" ht="12.75">
      <c r="A13" s="164">
        <v>16</v>
      </c>
      <c r="B13" s="145">
        <v>5</v>
      </c>
      <c r="C13" s="145">
        <v>0.25</v>
      </c>
      <c r="D13" s="141">
        <f t="shared" si="0"/>
        <v>0.11363636363636363</v>
      </c>
      <c r="E13" s="145">
        <v>15</v>
      </c>
      <c r="F13" s="145">
        <v>0.375</v>
      </c>
      <c r="G13" s="141">
        <f t="shared" si="1"/>
        <v>0.46296296296296297</v>
      </c>
      <c r="H13" s="145">
        <v>10</v>
      </c>
      <c r="I13" s="145">
        <v>0.25</v>
      </c>
      <c r="J13" s="141">
        <f t="shared" si="2"/>
        <v>0.22727272727272727</v>
      </c>
      <c r="K13" s="145">
        <v>43.25</v>
      </c>
      <c r="L13" s="145">
        <v>12.975</v>
      </c>
      <c r="M13" s="141">
        <f t="shared" si="3"/>
        <v>0.6784313725490196</v>
      </c>
      <c r="N13" s="145">
        <v>21</v>
      </c>
      <c r="O13" s="145">
        <v>2.1</v>
      </c>
      <c r="P13" s="141">
        <f t="shared" si="4"/>
        <v>0.1875</v>
      </c>
      <c r="Q13" s="145">
        <v>0</v>
      </c>
      <c r="R13" s="145">
        <v>0</v>
      </c>
      <c r="S13" s="141">
        <f t="shared" si="5"/>
        <v>0</v>
      </c>
      <c r="T13" s="145">
        <v>0</v>
      </c>
      <c r="U13" s="145">
        <v>0</v>
      </c>
      <c r="V13" s="141">
        <f t="shared" si="6"/>
        <v>0</v>
      </c>
      <c r="W13" s="145">
        <v>0</v>
      </c>
      <c r="X13" s="145">
        <v>0</v>
      </c>
      <c r="Y13" s="141">
        <f t="shared" si="7"/>
        <v>0</v>
      </c>
      <c r="Z13" s="145">
        <v>0</v>
      </c>
      <c r="AA13" s="145">
        <v>0</v>
      </c>
      <c r="AB13" s="141">
        <f t="shared" si="8"/>
        <v>0</v>
      </c>
      <c r="AC13" s="142">
        <v>94.25</v>
      </c>
      <c r="AD13" s="143">
        <v>15.95</v>
      </c>
      <c r="AE13" s="444">
        <f t="shared" si="9"/>
        <v>0.145</v>
      </c>
      <c r="AF13" s="526">
        <f t="shared" si="10"/>
        <v>0.0125</v>
      </c>
      <c r="AG13" s="526"/>
      <c r="AH13" s="526"/>
      <c r="AI13" s="532">
        <f t="shared" si="11"/>
        <v>0.0125</v>
      </c>
    </row>
    <row r="14" spans="1:35" ht="12.75">
      <c r="A14" s="164">
        <v>17</v>
      </c>
      <c r="B14" s="140">
        <v>3</v>
      </c>
      <c r="C14" s="140">
        <v>0.15</v>
      </c>
      <c r="D14" s="141">
        <f t="shared" si="0"/>
        <v>0.06818181818181818</v>
      </c>
      <c r="E14" s="140">
        <v>0</v>
      </c>
      <c r="F14" s="140">
        <v>0</v>
      </c>
      <c r="G14" s="141">
        <f t="shared" si="1"/>
        <v>0</v>
      </c>
      <c r="H14" s="140">
        <v>40</v>
      </c>
      <c r="I14" s="140">
        <v>1</v>
      </c>
      <c r="J14" s="141">
        <f t="shared" si="2"/>
        <v>0.9090909090909091</v>
      </c>
      <c r="K14" s="140">
        <v>42.5</v>
      </c>
      <c r="L14" s="140">
        <v>12.75</v>
      </c>
      <c r="M14" s="141">
        <f t="shared" si="3"/>
        <v>0.6666666666666666</v>
      </c>
      <c r="N14" s="140">
        <v>0</v>
      </c>
      <c r="O14" s="140">
        <v>0</v>
      </c>
      <c r="P14" s="141">
        <f t="shared" si="4"/>
        <v>0</v>
      </c>
      <c r="Q14" s="140">
        <v>0</v>
      </c>
      <c r="R14" s="140">
        <v>0</v>
      </c>
      <c r="S14" s="141">
        <f t="shared" si="5"/>
        <v>0</v>
      </c>
      <c r="T14" s="140">
        <v>0</v>
      </c>
      <c r="U14" s="140">
        <v>0</v>
      </c>
      <c r="V14" s="141">
        <f t="shared" si="6"/>
        <v>0</v>
      </c>
      <c r="W14" s="140">
        <v>0</v>
      </c>
      <c r="X14" s="140">
        <v>0</v>
      </c>
      <c r="Y14" s="141">
        <f t="shared" si="7"/>
        <v>0</v>
      </c>
      <c r="Z14" s="140">
        <v>0</v>
      </c>
      <c r="AA14" s="140">
        <v>0</v>
      </c>
      <c r="AB14" s="141">
        <f t="shared" si="8"/>
        <v>0</v>
      </c>
      <c r="AC14" s="142">
        <v>85.5</v>
      </c>
      <c r="AD14" s="143">
        <v>13.9</v>
      </c>
      <c r="AE14" s="444">
        <f t="shared" si="9"/>
        <v>0.12636363636363637</v>
      </c>
      <c r="AF14" s="526">
        <f t="shared" si="10"/>
        <v>0.016428571428571435</v>
      </c>
      <c r="AG14" s="526"/>
      <c r="AH14" s="526"/>
      <c r="AI14" s="532">
        <f t="shared" si="11"/>
        <v>0.016428571428571435</v>
      </c>
    </row>
    <row r="15" spans="1:35" ht="12.75">
      <c r="A15" s="164">
        <v>21</v>
      </c>
      <c r="B15" s="140">
        <v>8</v>
      </c>
      <c r="C15" s="140">
        <v>0.4</v>
      </c>
      <c r="D15" s="141">
        <f t="shared" si="0"/>
        <v>0.18181818181818182</v>
      </c>
      <c r="E15" s="140">
        <v>10</v>
      </c>
      <c r="F15" s="140">
        <v>0.25</v>
      </c>
      <c r="G15" s="141">
        <f t="shared" si="1"/>
        <v>0.308641975308642</v>
      </c>
      <c r="H15" s="140">
        <v>0</v>
      </c>
      <c r="I15" s="140">
        <v>0</v>
      </c>
      <c r="J15" s="141">
        <f t="shared" si="2"/>
        <v>0</v>
      </c>
      <c r="K15" s="140">
        <v>42.5</v>
      </c>
      <c r="L15" s="140">
        <v>12.75</v>
      </c>
      <c r="M15" s="141">
        <f t="shared" si="3"/>
        <v>0.6666666666666666</v>
      </c>
      <c r="N15" s="140">
        <v>0</v>
      </c>
      <c r="O15" s="140">
        <v>0</v>
      </c>
      <c r="P15" s="141">
        <f t="shared" si="4"/>
        <v>0</v>
      </c>
      <c r="Q15" s="140">
        <v>0</v>
      </c>
      <c r="R15" s="140">
        <v>0</v>
      </c>
      <c r="S15" s="141">
        <f t="shared" si="5"/>
        <v>0</v>
      </c>
      <c r="T15" s="140">
        <v>0</v>
      </c>
      <c r="U15" s="140">
        <v>0</v>
      </c>
      <c r="V15" s="141">
        <f t="shared" si="6"/>
        <v>0</v>
      </c>
      <c r="W15" s="140">
        <v>0</v>
      </c>
      <c r="X15" s="140">
        <v>0</v>
      </c>
      <c r="Y15" s="141">
        <f t="shared" si="7"/>
        <v>0</v>
      </c>
      <c r="Z15" s="140">
        <v>0</v>
      </c>
      <c r="AA15" s="140">
        <v>0</v>
      </c>
      <c r="AB15" s="141">
        <f t="shared" si="8"/>
        <v>0</v>
      </c>
      <c r="AC15" s="142">
        <v>60.5</v>
      </c>
      <c r="AD15" s="143">
        <v>13.4</v>
      </c>
      <c r="AE15" s="444">
        <f t="shared" si="9"/>
        <v>0.12181818181818183</v>
      </c>
      <c r="AF15" s="526">
        <f t="shared" si="10"/>
        <v>0.009285714285714291</v>
      </c>
      <c r="AG15" s="526"/>
      <c r="AH15" s="526"/>
      <c r="AI15" s="532">
        <f t="shared" si="11"/>
        <v>0.009285714285714291</v>
      </c>
    </row>
    <row r="16" spans="1:35" ht="12.75">
      <c r="A16" s="185">
        <v>22</v>
      </c>
      <c r="B16" s="140">
        <v>9</v>
      </c>
      <c r="C16" s="140">
        <v>0.45</v>
      </c>
      <c r="D16" s="141">
        <f t="shared" si="0"/>
        <v>0.20454545454545456</v>
      </c>
      <c r="E16" s="140">
        <v>17</v>
      </c>
      <c r="F16" s="140">
        <v>0.425</v>
      </c>
      <c r="G16" s="141">
        <f t="shared" si="1"/>
        <v>0.5246913580246914</v>
      </c>
      <c r="H16" s="140">
        <v>0</v>
      </c>
      <c r="I16" s="140">
        <v>0</v>
      </c>
      <c r="J16" s="141">
        <f t="shared" si="2"/>
        <v>0</v>
      </c>
      <c r="K16" s="140">
        <v>0</v>
      </c>
      <c r="L16" s="140">
        <v>0</v>
      </c>
      <c r="M16" s="141">
        <f t="shared" si="3"/>
        <v>0</v>
      </c>
      <c r="N16" s="140">
        <v>0</v>
      </c>
      <c r="O16" s="140">
        <v>0</v>
      </c>
      <c r="P16" s="141">
        <f t="shared" si="4"/>
        <v>0</v>
      </c>
      <c r="Q16" s="140">
        <v>0</v>
      </c>
      <c r="R16" s="140">
        <v>0</v>
      </c>
      <c r="S16" s="141">
        <f t="shared" si="5"/>
        <v>0</v>
      </c>
      <c r="T16" s="140">
        <v>0</v>
      </c>
      <c r="U16" s="140">
        <v>0</v>
      </c>
      <c r="V16" s="141">
        <f t="shared" si="6"/>
        <v>0</v>
      </c>
      <c r="W16" s="140">
        <v>0</v>
      </c>
      <c r="X16" s="140">
        <v>0</v>
      </c>
      <c r="Y16" s="141">
        <f t="shared" si="7"/>
        <v>0</v>
      </c>
      <c r="Z16" s="140">
        <v>0</v>
      </c>
      <c r="AA16" s="140">
        <v>0</v>
      </c>
      <c r="AB16" s="141">
        <f t="shared" si="8"/>
        <v>0</v>
      </c>
      <c r="AC16" s="142">
        <v>26</v>
      </c>
      <c r="AD16" s="143">
        <v>0.875</v>
      </c>
      <c r="AE16" s="444">
        <f t="shared" si="9"/>
        <v>0.007954545454545454</v>
      </c>
      <c r="AF16" s="526">
        <f t="shared" si="10"/>
        <v>0.0125</v>
      </c>
      <c r="AG16" s="526"/>
      <c r="AH16" s="526"/>
      <c r="AI16" s="532">
        <f t="shared" si="11"/>
        <v>0.0125</v>
      </c>
    </row>
    <row r="17" spans="1:35" ht="12.75">
      <c r="A17" s="185" t="s">
        <v>787</v>
      </c>
      <c r="B17" s="140">
        <v>0</v>
      </c>
      <c r="C17" s="140">
        <v>0</v>
      </c>
      <c r="D17" s="141">
        <f t="shared" si="0"/>
        <v>0</v>
      </c>
      <c r="E17" s="140">
        <v>27</v>
      </c>
      <c r="F17" s="140">
        <v>0.675</v>
      </c>
      <c r="G17" s="141">
        <f t="shared" si="1"/>
        <v>0.8333333333333334</v>
      </c>
      <c r="H17" s="140">
        <v>0</v>
      </c>
      <c r="I17" s="140">
        <v>0</v>
      </c>
      <c r="J17" s="141">
        <f t="shared" si="2"/>
        <v>0</v>
      </c>
      <c r="K17" s="140">
        <v>40</v>
      </c>
      <c r="L17" s="140">
        <v>12</v>
      </c>
      <c r="M17" s="141">
        <f t="shared" si="3"/>
        <v>0.6274509803921569</v>
      </c>
      <c r="N17" s="140">
        <v>0</v>
      </c>
      <c r="O17" s="140">
        <v>0</v>
      </c>
      <c r="P17" s="141">
        <f t="shared" si="4"/>
        <v>0</v>
      </c>
      <c r="Q17" s="140">
        <v>0</v>
      </c>
      <c r="R17" s="140">
        <v>0</v>
      </c>
      <c r="S17" s="141">
        <f t="shared" si="5"/>
        <v>0</v>
      </c>
      <c r="T17" s="140">
        <v>0</v>
      </c>
      <c r="U17" s="140">
        <v>0</v>
      </c>
      <c r="V17" s="141">
        <f t="shared" si="6"/>
        <v>0</v>
      </c>
      <c r="W17" s="140">
        <v>0</v>
      </c>
      <c r="X17" s="140">
        <v>0</v>
      </c>
      <c r="Y17" s="141">
        <f t="shared" si="7"/>
        <v>0</v>
      </c>
      <c r="Z17" s="140">
        <v>0</v>
      </c>
      <c r="AA17" s="140">
        <v>0</v>
      </c>
      <c r="AB17" s="141">
        <f t="shared" si="8"/>
        <v>0</v>
      </c>
      <c r="AC17" s="142">
        <v>67</v>
      </c>
      <c r="AD17" s="143">
        <v>12.675</v>
      </c>
      <c r="AE17" s="444">
        <f t="shared" si="9"/>
        <v>0.11522727272727273</v>
      </c>
      <c r="AF17" s="526">
        <f t="shared" si="10"/>
        <v>0.009642857142857153</v>
      </c>
      <c r="AG17" s="526"/>
      <c r="AH17" s="526"/>
      <c r="AI17" s="532">
        <f t="shared" si="11"/>
        <v>0.009642857142857153</v>
      </c>
    </row>
    <row r="18" spans="1:35" ht="12.75">
      <c r="A18" s="185" t="s">
        <v>788</v>
      </c>
      <c r="B18" s="145">
        <v>0</v>
      </c>
      <c r="C18" s="145">
        <v>0</v>
      </c>
      <c r="D18" s="141">
        <f t="shared" si="0"/>
        <v>0</v>
      </c>
      <c r="E18" s="145">
        <v>27</v>
      </c>
      <c r="F18" s="145">
        <v>0.675</v>
      </c>
      <c r="G18" s="141">
        <f t="shared" si="1"/>
        <v>0.8333333333333334</v>
      </c>
      <c r="H18" s="145">
        <v>40</v>
      </c>
      <c r="I18" s="145">
        <v>1</v>
      </c>
      <c r="J18" s="141">
        <f t="shared" si="2"/>
        <v>0.9090909090909091</v>
      </c>
      <c r="K18" s="145">
        <v>0</v>
      </c>
      <c r="L18" s="145">
        <v>0</v>
      </c>
      <c r="M18" s="141">
        <f t="shared" si="3"/>
        <v>0</v>
      </c>
      <c r="N18" s="145">
        <v>0</v>
      </c>
      <c r="O18" s="145">
        <v>0</v>
      </c>
      <c r="P18" s="141">
        <f t="shared" si="4"/>
        <v>0</v>
      </c>
      <c r="Q18" s="145">
        <v>0</v>
      </c>
      <c r="R18" s="145">
        <v>0</v>
      </c>
      <c r="S18" s="141">
        <f t="shared" si="5"/>
        <v>0</v>
      </c>
      <c r="T18" s="145">
        <v>0</v>
      </c>
      <c r="U18" s="145">
        <v>0</v>
      </c>
      <c r="V18" s="141">
        <f t="shared" si="6"/>
        <v>0</v>
      </c>
      <c r="W18" s="145">
        <v>0</v>
      </c>
      <c r="X18" s="145">
        <v>0</v>
      </c>
      <c r="Y18" s="141">
        <f t="shared" si="7"/>
        <v>0</v>
      </c>
      <c r="Z18" s="145">
        <v>0</v>
      </c>
      <c r="AA18" s="145">
        <v>0</v>
      </c>
      <c r="AB18" s="141">
        <f t="shared" si="8"/>
        <v>0</v>
      </c>
      <c r="AC18" s="142">
        <v>67</v>
      </c>
      <c r="AD18" s="143">
        <v>1.675</v>
      </c>
      <c r="AE18" s="444">
        <f t="shared" si="9"/>
        <v>0.015227272727272728</v>
      </c>
      <c r="AF18" s="526">
        <f t="shared" si="10"/>
        <v>0.023928571428571428</v>
      </c>
      <c r="AG18" s="526"/>
      <c r="AH18" s="526"/>
      <c r="AI18" s="532">
        <f t="shared" si="11"/>
        <v>0.023928571428571428</v>
      </c>
    </row>
    <row r="19" spans="1:35" ht="12.75">
      <c r="A19" s="185">
        <v>28</v>
      </c>
      <c r="B19" s="140">
        <v>0</v>
      </c>
      <c r="C19" s="140">
        <v>0</v>
      </c>
      <c r="D19" s="141">
        <f t="shared" si="0"/>
        <v>0</v>
      </c>
      <c r="E19" s="140">
        <v>10</v>
      </c>
      <c r="F19" s="140">
        <v>0.25</v>
      </c>
      <c r="G19" s="141">
        <f t="shared" si="1"/>
        <v>0.308641975308642</v>
      </c>
      <c r="H19" s="140">
        <v>0</v>
      </c>
      <c r="I19" s="140">
        <v>0</v>
      </c>
      <c r="J19" s="141">
        <f t="shared" si="2"/>
        <v>0</v>
      </c>
      <c r="K19" s="140">
        <v>30</v>
      </c>
      <c r="L19" s="140">
        <v>9</v>
      </c>
      <c r="M19" s="141">
        <f t="shared" si="3"/>
        <v>0.47058823529411764</v>
      </c>
      <c r="N19" s="140">
        <v>0</v>
      </c>
      <c r="O19" s="140">
        <v>0</v>
      </c>
      <c r="P19" s="141">
        <f t="shared" si="4"/>
        <v>0</v>
      </c>
      <c r="Q19" s="140">
        <v>0</v>
      </c>
      <c r="R19" s="140">
        <v>0</v>
      </c>
      <c r="S19" s="141">
        <f t="shared" si="5"/>
        <v>0</v>
      </c>
      <c r="T19" s="140">
        <v>0</v>
      </c>
      <c r="U19" s="140">
        <v>0</v>
      </c>
      <c r="V19" s="141">
        <f t="shared" si="6"/>
        <v>0</v>
      </c>
      <c r="W19" s="140">
        <v>10</v>
      </c>
      <c r="X19" s="140">
        <v>1</v>
      </c>
      <c r="Y19" s="141">
        <f t="shared" si="7"/>
        <v>1</v>
      </c>
      <c r="Z19" s="140">
        <v>8</v>
      </c>
      <c r="AA19" s="140">
        <v>0.8</v>
      </c>
      <c r="AB19" s="141">
        <f t="shared" si="8"/>
        <v>0.13793103448275862</v>
      </c>
      <c r="AC19" s="142">
        <v>58</v>
      </c>
      <c r="AD19" s="143">
        <v>11.05</v>
      </c>
      <c r="AE19" s="444">
        <f t="shared" si="9"/>
        <v>0.10045454545454546</v>
      </c>
      <c r="AF19" s="526">
        <f t="shared" si="10"/>
        <v>0.029285714285714297</v>
      </c>
      <c r="AG19" s="526"/>
      <c r="AH19" s="526"/>
      <c r="AI19" s="532">
        <f t="shared" si="11"/>
        <v>0.029285714285714297</v>
      </c>
    </row>
    <row r="20" spans="1:35" ht="12.75">
      <c r="A20" s="185">
        <v>29</v>
      </c>
      <c r="B20" s="140">
        <v>2.7</v>
      </c>
      <c r="C20" s="140">
        <v>0.135</v>
      </c>
      <c r="D20" s="141">
        <f t="shared" si="0"/>
        <v>0.06136363636363637</v>
      </c>
      <c r="E20" s="140">
        <v>10</v>
      </c>
      <c r="F20" s="140">
        <v>0.25</v>
      </c>
      <c r="G20" s="141">
        <f t="shared" si="1"/>
        <v>0.308641975308642</v>
      </c>
      <c r="H20" s="140">
        <v>10</v>
      </c>
      <c r="I20" s="140">
        <v>0.25</v>
      </c>
      <c r="J20" s="141">
        <f t="shared" si="2"/>
        <v>0.22727272727272727</v>
      </c>
      <c r="K20" s="140">
        <v>38.25</v>
      </c>
      <c r="L20" s="140">
        <v>11.475</v>
      </c>
      <c r="M20" s="141">
        <f t="shared" si="3"/>
        <v>0.6</v>
      </c>
      <c r="N20" s="140">
        <v>0</v>
      </c>
      <c r="O20" s="140">
        <v>0</v>
      </c>
      <c r="P20" s="141">
        <f t="shared" si="4"/>
        <v>0</v>
      </c>
      <c r="Q20" s="140">
        <v>18</v>
      </c>
      <c r="R20" s="140">
        <v>5.4</v>
      </c>
      <c r="S20" s="141">
        <f t="shared" si="5"/>
        <v>0.0962566844919786</v>
      </c>
      <c r="T20" s="140">
        <v>0</v>
      </c>
      <c r="U20" s="140">
        <v>0</v>
      </c>
      <c r="V20" s="141">
        <f t="shared" si="6"/>
        <v>0</v>
      </c>
      <c r="W20" s="140">
        <v>0</v>
      </c>
      <c r="X20" s="140">
        <v>0</v>
      </c>
      <c r="Y20" s="141">
        <f t="shared" si="7"/>
        <v>0</v>
      </c>
      <c r="Z20" s="140">
        <v>40</v>
      </c>
      <c r="AA20" s="140">
        <v>4</v>
      </c>
      <c r="AB20" s="141">
        <f t="shared" si="8"/>
        <v>0.6896551724137931</v>
      </c>
      <c r="AC20" s="142">
        <v>118.95</v>
      </c>
      <c r="AD20" s="143">
        <v>21.51</v>
      </c>
      <c r="AE20" s="444">
        <f t="shared" si="9"/>
        <v>0.19554545454545455</v>
      </c>
      <c r="AF20" s="526">
        <f t="shared" si="10"/>
        <v>0.14335714285714288</v>
      </c>
      <c r="AG20" s="526"/>
      <c r="AH20" s="526"/>
      <c r="AI20" s="532">
        <f t="shared" si="11"/>
        <v>0.14335714285714288</v>
      </c>
    </row>
    <row r="21" spans="1:35" ht="12.75">
      <c r="A21" s="164">
        <v>31</v>
      </c>
      <c r="B21" s="140">
        <v>3</v>
      </c>
      <c r="C21" s="140">
        <v>0.15</v>
      </c>
      <c r="D21" s="141">
        <f t="shared" si="0"/>
        <v>0.06818181818181818</v>
      </c>
      <c r="E21" s="140">
        <v>7</v>
      </c>
      <c r="F21" s="140">
        <v>0.175</v>
      </c>
      <c r="G21" s="141">
        <f t="shared" si="1"/>
        <v>0.2160493827160494</v>
      </c>
      <c r="H21" s="140">
        <v>0</v>
      </c>
      <c r="I21" s="140">
        <v>0</v>
      </c>
      <c r="J21" s="141">
        <f t="shared" si="2"/>
        <v>0</v>
      </c>
      <c r="K21" s="140">
        <v>42.5</v>
      </c>
      <c r="L21" s="140">
        <v>12.75</v>
      </c>
      <c r="M21" s="141">
        <f t="shared" si="3"/>
        <v>0.6666666666666666</v>
      </c>
      <c r="N21" s="140">
        <v>0</v>
      </c>
      <c r="O21" s="140">
        <v>0</v>
      </c>
      <c r="P21" s="141">
        <f t="shared" si="4"/>
        <v>0</v>
      </c>
      <c r="Q21" s="140">
        <v>0</v>
      </c>
      <c r="R21" s="140">
        <v>0</v>
      </c>
      <c r="S21" s="141">
        <f t="shared" si="5"/>
        <v>0</v>
      </c>
      <c r="T21" s="140">
        <v>0</v>
      </c>
      <c r="U21" s="140">
        <v>0</v>
      </c>
      <c r="V21" s="141">
        <f t="shared" si="6"/>
        <v>0</v>
      </c>
      <c r="W21" s="140">
        <v>0</v>
      </c>
      <c r="X21" s="140">
        <v>0</v>
      </c>
      <c r="Y21" s="141">
        <f t="shared" si="7"/>
        <v>0</v>
      </c>
      <c r="Z21" s="140">
        <v>0</v>
      </c>
      <c r="AA21" s="140">
        <v>0</v>
      </c>
      <c r="AB21" s="141">
        <f t="shared" si="8"/>
        <v>0</v>
      </c>
      <c r="AC21" s="142">
        <v>52.5</v>
      </c>
      <c r="AD21" s="143">
        <v>13.075</v>
      </c>
      <c r="AE21" s="444">
        <f t="shared" si="9"/>
        <v>0.11886363636363635</v>
      </c>
      <c r="AF21" s="526">
        <f t="shared" si="10"/>
        <v>0.004642857142857133</v>
      </c>
      <c r="AG21" s="526"/>
      <c r="AH21" s="526"/>
      <c r="AI21" s="532">
        <f t="shared" si="11"/>
        <v>0.004642857142857133</v>
      </c>
    </row>
    <row r="22" spans="1:35" ht="12.75">
      <c r="A22" s="164" t="s">
        <v>789</v>
      </c>
      <c r="B22" s="140">
        <v>5</v>
      </c>
      <c r="C22" s="140">
        <v>0.25</v>
      </c>
      <c r="D22" s="141">
        <f t="shared" si="0"/>
        <v>0.11363636363636363</v>
      </c>
      <c r="E22" s="140">
        <v>0</v>
      </c>
      <c r="F22" s="140">
        <v>0</v>
      </c>
      <c r="G22" s="141">
        <f t="shared" si="1"/>
        <v>0</v>
      </c>
      <c r="H22" s="140">
        <v>0</v>
      </c>
      <c r="I22" s="140">
        <v>0</v>
      </c>
      <c r="J22" s="141">
        <f t="shared" si="2"/>
        <v>0</v>
      </c>
      <c r="K22" s="140">
        <v>0</v>
      </c>
      <c r="L22" s="140">
        <v>0</v>
      </c>
      <c r="M22" s="141">
        <f t="shared" si="3"/>
        <v>0</v>
      </c>
      <c r="N22" s="140">
        <v>70</v>
      </c>
      <c r="O22" s="140">
        <v>7</v>
      </c>
      <c r="P22" s="141">
        <f t="shared" si="4"/>
        <v>0.625</v>
      </c>
      <c r="Q22" s="140">
        <v>0</v>
      </c>
      <c r="R22" s="140">
        <v>0</v>
      </c>
      <c r="S22" s="141">
        <f t="shared" si="5"/>
        <v>0</v>
      </c>
      <c r="T22" s="145">
        <v>0</v>
      </c>
      <c r="U22" s="140">
        <v>0</v>
      </c>
      <c r="V22" s="141">
        <f t="shared" si="6"/>
        <v>0</v>
      </c>
      <c r="W22" s="140">
        <v>0</v>
      </c>
      <c r="X22" s="140">
        <v>0</v>
      </c>
      <c r="Y22" s="141">
        <f t="shared" si="7"/>
        <v>0</v>
      </c>
      <c r="Z22" s="140">
        <v>8</v>
      </c>
      <c r="AA22" s="140">
        <v>0.8</v>
      </c>
      <c r="AB22" s="141">
        <f t="shared" si="8"/>
        <v>0.13793103448275862</v>
      </c>
      <c r="AC22" s="142">
        <v>83</v>
      </c>
      <c r="AD22" s="143">
        <v>8.05</v>
      </c>
      <c r="AE22" s="444">
        <f t="shared" si="9"/>
        <v>0.0731818181818182</v>
      </c>
      <c r="AF22" s="526">
        <f t="shared" si="10"/>
        <v>0.01500000000000001</v>
      </c>
      <c r="AG22" s="526"/>
      <c r="AH22" s="526"/>
      <c r="AI22" s="532">
        <f t="shared" si="11"/>
        <v>0.01500000000000001</v>
      </c>
    </row>
    <row r="23" spans="1:35" ht="12.75">
      <c r="A23" s="164" t="s">
        <v>790</v>
      </c>
      <c r="B23" s="147">
        <v>5</v>
      </c>
      <c r="C23" s="147">
        <v>0.25</v>
      </c>
      <c r="D23" s="141">
        <f t="shared" si="0"/>
        <v>0.11363636363636363</v>
      </c>
      <c r="E23" s="147">
        <v>12.5</v>
      </c>
      <c r="F23" s="147">
        <v>0.3125</v>
      </c>
      <c r="G23" s="141">
        <f t="shared" si="1"/>
        <v>0.38580246913580246</v>
      </c>
      <c r="H23" s="147">
        <v>0</v>
      </c>
      <c r="I23" s="147">
        <v>0</v>
      </c>
      <c r="J23" s="141">
        <f t="shared" si="2"/>
        <v>0</v>
      </c>
      <c r="K23" s="147">
        <v>0</v>
      </c>
      <c r="L23" s="147">
        <v>0</v>
      </c>
      <c r="M23" s="141">
        <f t="shared" si="3"/>
        <v>0</v>
      </c>
      <c r="N23" s="147">
        <v>70</v>
      </c>
      <c r="O23" s="147">
        <v>7</v>
      </c>
      <c r="P23" s="141">
        <f t="shared" si="4"/>
        <v>0.625</v>
      </c>
      <c r="Q23" s="147">
        <v>0</v>
      </c>
      <c r="R23" s="147">
        <v>0</v>
      </c>
      <c r="S23" s="141">
        <f t="shared" si="5"/>
        <v>0</v>
      </c>
      <c r="T23" s="147">
        <v>0</v>
      </c>
      <c r="U23" s="147">
        <v>0</v>
      </c>
      <c r="V23" s="141">
        <f t="shared" si="6"/>
        <v>0</v>
      </c>
      <c r="W23" s="147">
        <v>0</v>
      </c>
      <c r="X23" s="147">
        <v>0</v>
      </c>
      <c r="Y23" s="141">
        <f t="shared" si="7"/>
        <v>0</v>
      </c>
      <c r="Z23" s="147">
        <v>0</v>
      </c>
      <c r="AA23" s="147">
        <v>0</v>
      </c>
      <c r="AB23" s="141">
        <f t="shared" si="8"/>
        <v>0</v>
      </c>
      <c r="AC23" s="142">
        <v>87.5</v>
      </c>
      <c r="AD23" s="143">
        <v>7.5625</v>
      </c>
      <c r="AE23" s="444">
        <f t="shared" si="9"/>
        <v>0.06875</v>
      </c>
      <c r="AF23" s="526">
        <f t="shared" si="10"/>
        <v>0.008035714285714285</v>
      </c>
      <c r="AG23" s="526"/>
      <c r="AH23" s="526"/>
      <c r="AI23" s="532">
        <f t="shared" si="11"/>
        <v>0.008035714285714285</v>
      </c>
    </row>
    <row r="24" spans="1:35" ht="12.75">
      <c r="A24" s="164" t="s">
        <v>791</v>
      </c>
      <c r="B24" s="140">
        <v>5</v>
      </c>
      <c r="C24" s="140">
        <v>0.25</v>
      </c>
      <c r="D24" s="141">
        <f t="shared" si="0"/>
        <v>0.11363636363636363</v>
      </c>
      <c r="E24" s="140">
        <v>2.5</v>
      </c>
      <c r="F24" s="140">
        <v>0.0625</v>
      </c>
      <c r="G24" s="141">
        <f t="shared" si="1"/>
        <v>0.0771604938271605</v>
      </c>
      <c r="H24" s="140">
        <v>0</v>
      </c>
      <c r="I24" s="140">
        <v>0</v>
      </c>
      <c r="J24" s="141">
        <f t="shared" si="2"/>
        <v>0</v>
      </c>
      <c r="K24" s="140">
        <v>42.5</v>
      </c>
      <c r="L24" s="140">
        <v>12.75</v>
      </c>
      <c r="M24" s="141">
        <f t="shared" si="3"/>
        <v>0.6666666666666666</v>
      </c>
      <c r="N24" s="140">
        <v>70</v>
      </c>
      <c r="O24" s="140">
        <v>7</v>
      </c>
      <c r="P24" s="141">
        <f t="shared" si="4"/>
        <v>0.625</v>
      </c>
      <c r="Q24" s="140">
        <v>0</v>
      </c>
      <c r="R24" s="140">
        <v>0</v>
      </c>
      <c r="S24" s="141">
        <f t="shared" si="5"/>
        <v>0</v>
      </c>
      <c r="T24" s="140">
        <v>0</v>
      </c>
      <c r="U24" s="140">
        <v>0</v>
      </c>
      <c r="V24" s="141">
        <f t="shared" si="6"/>
        <v>0</v>
      </c>
      <c r="W24" s="140">
        <v>0</v>
      </c>
      <c r="X24" s="140">
        <v>0</v>
      </c>
      <c r="Y24" s="141">
        <f t="shared" si="7"/>
        <v>0</v>
      </c>
      <c r="Z24" s="140">
        <v>0</v>
      </c>
      <c r="AA24" s="140">
        <v>0</v>
      </c>
      <c r="AB24" s="141">
        <f t="shared" si="8"/>
        <v>0</v>
      </c>
      <c r="AC24" s="142">
        <v>120</v>
      </c>
      <c r="AD24" s="143">
        <v>20.0625</v>
      </c>
      <c r="AE24" s="444">
        <f t="shared" si="9"/>
        <v>0.18238636363636362</v>
      </c>
      <c r="AF24" s="526">
        <f t="shared" si="10"/>
        <v>0.004464285714285714</v>
      </c>
      <c r="AG24" s="526"/>
      <c r="AH24" s="526"/>
      <c r="AI24" s="532">
        <f t="shared" si="11"/>
        <v>0.004464285714285714</v>
      </c>
    </row>
    <row r="25" spans="1:35" ht="12.75">
      <c r="A25" s="185" t="s">
        <v>792</v>
      </c>
      <c r="B25" s="151">
        <v>0</v>
      </c>
      <c r="C25" s="151">
        <v>0</v>
      </c>
      <c r="D25" s="141">
        <f t="shared" si="0"/>
        <v>0</v>
      </c>
      <c r="E25" s="151">
        <v>0</v>
      </c>
      <c r="F25" s="151">
        <v>0</v>
      </c>
      <c r="G25" s="141">
        <f t="shared" si="1"/>
        <v>0</v>
      </c>
      <c r="H25" s="151">
        <v>0</v>
      </c>
      <c r="I25" s="151">
        <v>0</v>
      </c>
      <c r="J25" s="141">
        <f t="shared" si="2"/>
        <v>0</v>
      </c>
      <c r="K25" s="151">
        <v>0</v>
      </c>
      <c r="L25" s="151">
        <v>0</v>
      </c>
      <c r="M25" s="141">
        <f t="shared" si="3"/>
        <v>0</v>
      </c>
      <c r="N25" s="151">
        <v>0</v>
      </c>
      <c r="O25" s="151">
        <v>0</v>
      </c>
      <c r="P25" s="141">
        <f t="shared" si="4"/>
        <v>0</v>
      </c>
      <c r="Q25" s="151">
        <v>0</v>
      </c>
      <c r="R25" s="151">
        <v>0</v>
      </c>
      <c r="S25" s="141">
        <f t="shared" si="5"/>
        <v>0</v>
      </c>
      <c r="T25" s="151">
        <v>0</v>
      </c>
      <c r="U25" s="151">
        <v>0</v>
      </c>
      <c r="V25" s="141">
        <f t="shared" si="6"/>
        <v>0</v>
      </c>
      <c r="W25" s="151">
        <v>0</v>
      </c>
      <c r="X25" s="151">
        <v>0</v>
      </c>
      <c r="Y25" s="141">
        <f t="shared" si="7"/>
        <v>0</v>
      </c>
      <c r="Z25" s="151">
        <v>0</v>
      </c>
      <c r="AA25" s="151">
        <v>0</v>
      </c>
      <c r="AB25" s="141">
        <f t="shared" si="8"/>
        <v>0</v>
      </c>
      <c r="AC25" s="142">
        <v>0</v>
      </c>
      <c r="AD25" s="143">
        <v>0</v>
      </c>
      <c r="AE25" s="444">
        <v>0.18238636363636362</v>
      </c>
      <c r="AF25" s="526">
        <f t="shared" si="10"/>
        <v>0</v>
      </c>
      <c r="AG25" s="526"/>
      <c r="AH25" s="526"/>
      <c r="AI25" s="532">
        <f t="shared" si="11"/>
        <v>0</v>
      </c>
    </row>
    <row r="26" spans="1:35" ht="12.75">
      <c r="A26" s="289">
        <v>36</v>
      </c>
      <c r="B26" s="145">
        <v>0</v>
      </c>
      <c r="C26" s="145">
        <v>0</v>
      </c>
      <c r="D26" s="141">
        <f t="shared" si="0"/>
        <v>0</v>
      </c>
      <c r="E26" s="145">
        <v>0</v>
      </c>
      <c r="F26" s="145">
        <v>0</v>
      </c>
      <c r="G26" s="141">
        <f t="shared" si="1"/>
        <v>0</v>
      </c>
      <c r="H26" s="145">
        <v>40</v>
      </c>
      <c r="I26" s="145">
        <v>1</v>
      </c>
      <c r="J26" s="141">
        <f t="shared" si="2"/>
        <v>0.9090909090909091</v>
      </c>
      <c r="K26" s="145">
        <v>0</v>
      </c>
      <c r="L26" s="145">
        <v>0</v>
      </c>
      <c r="M26" s="141">
        <f t="shared" si="3"/>
        <v>0</v>
      </c>
      <c r="N26" s="145">
        <v>0</v>
      </c>
      <c r="O26" s="145">
        <v>0</v>
      </c>
      <c r="P26" s="141">
        <f t="shared" si="4"/>
        <v>0</v>
      </c>
      <c r="Q26" s="145">
        <v>0</v>
      </c>
      <c r="R26" s="145">
        <v>0</v>
      </c>
      <c r="S26" s="141">
        <f t="shared" si="5"/>
        <v>0</v>
      </c>
      <c r="T26" s="145">
        <v>0</v>
      </c>
      <c r="U26" s="145">
        <v>0</v>
      </c>
      <c r="V26" s="141">
        <f t="shared" si="6"/>
        <v>0</v>
      </c>
      <c r="W26" s="145">
        <v>0</v>
      </c>
      <c r="X26" s="145">
        <v>0</v>
      </c>
      <c r="Y26" s="141">
        <f t="shared" si="7"/>
        <v>0</v>
      </c>
      <c r="Z26" s="145">
        <v>0</v>
      </c>
      <c r="AA26" s="145">
        <v>0</v>
      </c>
      <c r="AB26" s="141">
        <f t="shared" si="8"/>
        <v>0</v>
      </c>
      <c r="AC26" s="142">
        <v>40</v>
      </c>
      <c r="AD26" s="143">
        <v>1</v>
      </c>
      <c r="AE26" s="444">
        <f t="shared" si="9"/>
        <v>0.00909090909090909</v>
      </c>
      <c r="AF26" s="526">
        <f t="shared" si="10"/>
        <v>0.014285714285714285</v>
      </c>
      <c r="AG26" s="526"/>
      <c r="AH26" s="526"/>
      <c r="AI26" s="532">
        <f t="shared" si="11"/>
        <v>0.014285714285714285</v>
      </c>
    </row>
    <row r="27" spans="1:35" ht="12.75">
      <c r="A27" s="221">
        <v>37</v>
      </c>
      <c r="B27" s="151">
        <v>1</v>
      </c>
      <c r="C27" s="151">
        <v>0.05</v>
      </c>
      <c r="D27" s="141">
        <f t="shared" si="0"/>
        <v>0.022727272727272728</v>
      </c>
      <c r="E27" s="151">
        <v>2.5</v>
      </c>
      <c r="F27" s="151">
        <v>0.0625</v>
      </c>
      <c r="G27" s="141">
        <f t="shared" si="1"/>
        <v>0.0771604938271605</v>
      </c>
      <c r="H27" s="151">
        <v>44</v>
      </c>
      <c r="I27" s="151">
        <v>1.1</v>
      </c>
      <c r="J27" s="141">
        <f t="shared" si="2"/>
        <v>1</v>
      </c>
      <c r="K27" s="151">
        <v>0</v>
      </c>
      <c r="L27" s="151">
        <v>0</v>
      </c>
      <c r="M27" s="141">
        <f t="shared" si="3"/>
        <v>0</v>
      </c>
      <c r="N27" s="151">
        <v>0</v>
      </c>
      <c r="O27" s="151">
        <v>0</v>
      </c>
      <c r="P27" s="141">
        <f t="shared" si="4"/>
        <v>0</v>
      </c>
      <c r="Q27" s="151">
        <v>0</v>
      </c>
      <c r="R27" s="151">
        <v>0</v>
      </c>
      <c r="S27" s="141">
        <f t="shared" si="5"/>
        <v>0</v>
      </c>
      <c r="T27" s="147">
        <v>0</v>
      </c>
      <c r="U27" s="151">
        <v>0</v>
      </c>
      <c r="V27" s="141">
        <f t="shared" si="6"/>
        <v>0</v>
      </c>
      <c r="W27" s="151">
        <v>0</v>
      </c>
      <c r="X27" s="151">
        <v>0</v>
      </c>
      <c r="Y27" s="141">
        <f t="shared" si="7"/>
        <v>0</v>
      </c>
      <c r="Z27" s="151">
        <v>58</v>
      </c>
      <c r="AA27" s="151">
        <v>5.8</v>
      </c>
      <c r="AB27" s="141">
        <f t="shared" si="8"/>
        <v>1</v>
      </c>
      <c r="AC27" s="142">
        <v>105.5</v>
      </c>
      <c r="AD27" s="143">
        <v>7.0125</v>
      </c>
      <c r="AE27" s="444">
        <f t="shared" si="9"/>
        <v>0.06375</v>
      </c>
      <c r="AF27" s="526"/>
      <c r="AG27" s="526"/>
      <c r="AH27" s="526">
        <f>(AD27-AA27)/100</f>
        <v>0.012125000000000004</v>
      </c>
      <c r="AI27" s="532">
        <f t="shared" si="11"/>
        <v>0.012125000000000004</v>
      </c>
    </row>
    <row r="28" spans="1:35" ht="12.75">
      <c r="A28" s="164">
        <v>38</v>
      </c>
      <c r="B28" s="151">
        <v>3</v>
      </c>
      <c r="C28" s="151">
        <v>0.15</v>
      </c>
      <c r="D28" s="141">
        <f t="shared" si="0"/>
        <v>0.06818181818181818</v>
      </c>
      <c r="E28" s="151">
        <v>10</v>
      </c>
      <c r="F28" s="151">
        <v>0.25</v>
      </c>
      <c r="G28" s="141">
        <f t="shared" si="1"/>
        <v>0.308641975308642</v>
      </c>
      <c r="H28" s="151">
        <v>0</v>
      </c>
      <c r="I28" s="151">
        <v>0</v>
      </c>
      <c r="J28" s="141">
        <f t="shared" si="2"/>
        <v>0</v>
      </c>
      <c r="K28" s="151">
        <v>42.5</v>
      </c>
      <c r="L28" s="151">
        <v>12.75</v>
      </c>
      <c r="M28" s="141">
        <f t="shared" si="3"/>
        <v>0.6666666666666666</v>
      </c>
      <c r="N28" s="151">
        <v>0</v>
      </c>
      <c r="O28" s="151">
        <v>0</v>
      </c>
      <c r="P28" s="141">
        <f t="shared" si="4"/>
        <v>0</v>
      </c>
      <c r="Q28" s="151">
        <v>18</v>
      </c>
      <c r="R28" s="151">
        <v>5.4</v>
      </c>
      <c r="S28" s="141">
        <f t="shared" si="5"/>
        <v>0.0962566844919786</v>
      </c>
      <c r="T28" s="151">
        <v>0</v>
      </c>
      <c r="U28" s="151">
        <v>0</v>
      </c>
      <c r="V28" s="141">
        <f t="shared" si="6"/>
        <v>0</v>
      </c>
      <c r="W28" s="151">
        <v>0</v>
      </c>
      <c r="X28" s="151">
        <v>0</v>
      </c>
      <c r="Y28" s="141">
        <f t="shared" si="7"/>
        <v>0</v>
      </c>
      <c r="Z28" s="151">
        <v>0</v>
      </c>
      <c r="AA28" s="151">
        <v>0</v>
      </c>
      <c r="AB28" s="141">
        <f t="shared" si="8"/>
        <v>0</v>
      </c>
      <c r="AC28" s="142">
        <v>73.5</v>
      </c>
      <c r="AD28" s="143">
        <v>18.55</v>
      </c>
      <c r="AE28" s="444">
        <f t="shared" si="9"/>
        <v>0.16863636363636364</v>
      </c>
      <c r="AF28" s="526">
        <f t="shared" si="10"/>
        <v>0.08285714285714287</v>
      </c>
      <c r="AG28" s="526"/>
      <c r="AH28" s="526"/>
      <c r="AI28" s="532">
        <f t="shared" si="11"/>
        <v>0.08285714285714287</v>
      </c>
    </row>
    <row r="29" spans="1:35" ht="12.75">
      <c r="A29" s="164" t="s">
        <v>793</v>
      </c>
      <c r="B29" s="145">
        <v>5</v>
      </c>
      <c r="C29" s="145">
        <v>0.25</v>
      </c>
      <c r="D29" s="141">
        <f t="shared" si="0"/>
        <v>0.11363636363636363</v>
      </c>
      <c r="E29" s="145">
        <v>0</v>
      </c>
      <c r="F29" s="145">
        <v>0</v>
      </c>
      <c r="G29" s="141">
        <f t="shared" si="1"/>
        <v>0</v>
      </c>
      <c r="H29" s="145">
        <v>0</v>
      </c>
      <c r="I29" s="145">
        <v>0</v>
      </c>
      <c r="J29" s="141">
        <f t="shared" si="2"/>
        <v>0</v>
      </c>
      <c r="K29" s="145">
        <v>0</v>
      </c>
      <c r="L29" s="145">
        <v>0</v>
      </c>
      <c r="M29" s="141">
        <f t="shared" si="3"/>
        <v>0</v>
      </c>
      <c r="N29" s="145">
        <v>0</v>
      </c>
      <c r="O29" s="145">
        <v>0</v>
      </c>
      <c r="P29" s="141">
        <f t="shared" si="4"/>
        <v>0</v>
      </c>
      <c r="Q29" s="145">
        <v>0</v>
      </c>
      <c r="R29" s="145">
        <v>0</v>
      </c>
      <c r="S29" s="141">
        <f t="shared" si="5"/>
        <v>0</v>
      </c>
      <c r="T29" s="145">
        <v>0</v>
      </c>
      <c r="U29" s="145">
        <v>0</v>
      </c>
      <c r="V29" s="141">
        <f t="shared" si="6"/>
        <v>0</v>
      </c>
      <c r="W29" s="145">
        <v>0</v>
      </c>
      <c r="X29" s="145">
        <v>0</v>
      </c>
      <c r="Y29" s="141">
        <f t="shared" si="7"/>
        <v>0</v>
      </c>
      <c r="Z29" s="145">
        <v>0</v>
      </c>
      <c r="AA29" s="145">
        <v>0</v>
      </c>
      <c r="AB29" s="141">
        <f t="shared" si="8"/>
        <v>0</v>
      </c>
      <c r="AC29" s="142">
        <v>5</v>
      </c>
      <c r="AD29" s="143">
        <v>0.25</v>
      </c>
      <c r="AE29" s="444">
        <f t="shared" si="9"/>
        <v>0.0022727272727272726</v>
      </c>
      <c r="AF29" s="526">
        <f t="shared" si="10"/>
        <v>0.0035714285714285713</v>
      </c>
      <c r="AG29" s="526"/>
      <c r="AH29" s="526"/>
      <c r="AI29" s="532">
        <f t="shared" si="11"/>
        <v>0.0035714285714285713</v>
      </c>
    </row>
    <row r="30" spans="1:35" ht="12.75">
      <c r="A30" s="185" t="s">
        <v>794</v>
      </c>
      <c r="B30" s="147">
        <v>5</v>
      </c>
      <c r="C30" s="147">
        <v>0.25</v>
      </c>
      <c r="D30" s="141">
        <f t="shared" si="0"/>
        <v>0.11363636363636363</v>
      </c>
      <c r="E30" s="147">
        <v>0</v>
      </c>
      <c r="F30" s="147">
        <v>0</v>
      </c>
      <c r="G30" s="141">
        <f t="shared" si="1"/>
        <v>0</v>
      </c>
      <c r="H30" s="147">
        <v>0</v>
      </c>
      <c r="I30" s="147">
        <v>0</v>
      </c>
      <c r="J30" s="141">
        <f t="shared" si="2"/>
        <v>0</v>
      </c>
      <c r="K30" s="147">
        <v>1</v>
      </c>
      <c r="L30" s="147">
        <v>0.3</v>
      </c>
      <c r="M30" s="141">
        <f t="shared" si="3"/>
        <v>0.01568627450980392</v>
      </c>
      <c r="N30" s="147">
        <v>0</v>
      </c>
      <c r="O30" s="147">
        <v>0</v>
      </c>
      <c r="P30" s="141">
        <f t="shared" si="4"/>
        <v>0</v>
      </c>
      <c r="Q30" s="147">
        <v>0</v>
      </c>
      <c r="R30" s="147">
        <v>0</v>
      </c>
      <c r="S30" s="141">
        <f t="shared" si="5"/>
        <v>0</v>
      </c>
      <c r="T30" s="147">
        <v>0</v>
      </c>
      <c r="U30" s="147">
        <v>0</v>
      </c>
      <c r="V30" s="141">
        <f t="shared" si="6"/>
        <v>0</v>
      </c>
      <c r="W30" s="147">
        <v>0</v>
      </c>
      <c r="X30" s="147">
        <v>0</v>
      </c>
      <c r="Y30" s="141">
        <f t="shared" si="7"/>
        <v>0</v>
      </c>
      <c r="Z30" s="147">
        <v>0</v>
      </c>
      <c r="AA30" s="147">
        <v>0</v>
      </c>
      <c r="AB30" s="141">
        <f t="shared" si="8"/>
        <v>0</v>
      </c>
      <c r="AC30" s="142">
        <v>6</v>
      </c>
      <c r="AD30" s="143">
        <v>0.55</v>
      </c>
      <c r="AE30" s="444">
        <f t="shared" si="9"/>
        <v>0.005</v>
      </c>
      <c r="AF30" s="526">
        <f t="shared" si="10"/>
        <v>0.003571428571428572</v>
      </c>
      <c r="AG30" s="526"/>
      <c r="AH30" s="526"/>
      <c r="AI30" s="532">
        <f t="shared" si="11"/>
        <v>0.003571428571428572</v>
      </c>
    </row>
    <row r="31" spans="1:35" ht="12.75">
      <c r="A31" s="185" t="s">
        <v>795</v>
      </c>
      <c r="B31" s="151">
        <v>0</v>
      </c>
      <c r="C31" s="151">
        <v>0</v>
      </c>
      <c r="D31" s="141">
        <f t="shared" si="0"/>
        <v>0</v>
      </c>
      <c r="E31" s="151">
        <v>10</v>
      </c>
      <c r="F31" s="151">
        <v>0.25</v>
      </c>
      <c r="G31" s="141">
        <f t="shared" si="1"/>
        <v>0.308641975308642</v>
      </c>
      <c r="H31" s="151">
        <v>10</v>
      </c>
      <c r="I31" s="151">
        <v>0.25</v>
      </c>
      <c r="J31" s="141">
        <f t="shared" si="2"/>
        <v>0.22727272727272727</v>
      </c>
      <c r="K31" s="151">
        <v>30</v>
      </c>
      <c r="L31" s="151">
        <v>9</v>
      </c>
      <c r="M31" s="141">
        <f t="shared" si="3"/>
        <v>0.47058823529411764</v>
      </c>
      <c r="N31" s="151">
        <v>0</v>
      </c>
      <c r="O31" s="151">
        <v>0</v>
      </c>
      <c r="P31" s="141">
        <f t="shared" si="4"/>
        <v>0</v>
      </c>
      <c r="Q31" s="151">
        <v>0</v>
      </c>
      <c r="R31" s="151">
        <v>0</v>
      </c>
      <c r="S31" s="141">
        <f t="shared" si="5"/>
        <v>0</v>
      </c>
      <c r="T31" s="151">
        <v>0</v>
      </c>
      <c r="U31" s="151">
        <v>0</v>
      </c>
      <c r="V31" s="141">
        <f t="shared" si="6"/>
        <v>0</v>
      </c>
      <c r="W31" s="151">
        <v>0</v>
      </c>
      <c r="X31" s="151">
        <v>0</v>
      </c>
      <c r="Y31" s="141">
        <f t="shared" si="7"/>
        <v>0</v>
      </c>
      <c r="Z31" s="151">
        <v>0</v>
      </c>
      <c r="AA31" s="151">
        <v>0</v>
      </c>
      <c r="AB31" s="141">
        <f t="shared" si="8"/>
        <v>0</v>
      </c>
      <c r="AC31" s="142">
        <v>50</v>
      </c>
      <c r="AD31" s="143">
        <v>9.5</v>
      </c>
      <c r="AE31" s="444">
        <f t="shared" si="9"/>
        <v>0.08636363636363636</v>
      </c>
      <c r="AF31" s="526">
        <f t="shared" si="10"/>
        <v>0.007142857142857143</v>
      </c>
      <c r="AG31" s="526"/>
      <c r="AH31" s="526"/>
      <c r="AI31" s="532">
        <f t="shared" si="11"/>
        <v>0.007142857142857143</v>
      </c>
    </row>
    <row r="32" spans="1:35" ht="12.75">
      <c r="A32" s="185" t="s">
        <v>796</v>
      </c>
      <c r="B32" s="151">
        <v>0</v>
      </c>
      <c r="C32" s="151">
        <v>0</v>
      </c>
      <c r="D32" s="141">
        <f t="shared" si="0"/>
        <v>0</v>
      </c>
      <c r="E32" s="151">
        <v>0</v>
      </c>
      <c r="F32" s="151">
        <v>0</v>
      </c>
      <c r="G32" s="141">
        <f t="shared" si="1"/>
        <v>0</v>
      </c>
      <c r="H32" s="151">
        <v>0</v>
      </c>
      <c r="I32" s="151">
        <v>0</v>
      </c>
      <c r="J32" s="141">
        <f t="shared" si="2"/>
        <v>0</v>
      </c>
      <c r="K32" s="151">
        <v>0</v>
      </c>
      <c r="L32" s="151">
        <v>0</v>
      </c>
      <c r="M32" s="141">
        <f t="shared" si="3"/>
        <v>0</v>
      </c>
      <c r="N32" s="151">
        <v>0</v>
      </c>
      <c r="O32" s="151">
        <v>0</v>
      </c>
      <c r="P32" s="141">
        <f t="shared" si="4"/>
        <v>0</v>
      </c>
      <c r="Q32" s="151">
        <v>0</v>
      </c>
      <c r="R32" s="151">
        <v>0</v>
      </c>
      <c r="S32" s="141">
        <f t="shared" si="5"/>
        <v>0</v>
      </c>
      <c r="T32" s="151">
        <v>0</v>
      </c>
      <c r="U32" s="151">
        <v>0</v>
      </c>
      <c r="V32" s="141">
        <f t="shared" si="6"/>
        <v>0</v>
      </c>
      <c r="W32" s="151">
        <v>0</v>
      </c>
      <c r="X32" s="151">
        <v>0</v>
      </c>
      <c r="Y32" s="141">
        <f t="shared" si="7"/>
        <v>0</v>
      </c>
      <c r="Z32" s="151">
        <v>0</v>
      </c>
      <c r="AA32" s="151">
        <v>0</v>
      </c>
      <c r="AB32" s="141">
        <f t="shared" si="8"/>
        <v>0</v>
      </c>
      <c r="AC32" s="142">
        <v>50</v>
      </c>
      <c r="AD32" s="143">
        <v>9.5</v>
      </c>
      <c r="AE32" s="444">
        <f t="shared" si="9"/>
        <v>0.08636363636363636</v>
      </c>
      <c r="AF32" s="526">
        <f t="shared" si="10"/>
        <v>0.1357142857142857</v>
      </c>
      <c r="AG32" s="526"/>
      <c r="AH32" s="526"/>
      <c r="AI32" s="532">
        <f t="shared" si="11"/>
        <v>0.1357142857142857</v>
      </c>
    </row>
    <row r="33" spans="1:35" ht="12.75">
      <c r="A33" s="185" t="s">
        <v>797</v>
      </c>
      <c r="B33" s="145">
        <v>0</v>
      </c>
      <c r="C33" s="145">
        <v>0</v>
      </c>
      <c r="D33" s="141">
        <f t="shared" si="0"/>
        <v>0</v>
      </c>
      <c r="E33" s="145">
        <v>0</v>
      </c>
      <c r="F33" s="145">
        <v>0</v>
      </c>
      <c r="G33" s="141">
        <f t="shared" si="1"/>
        <v>0</v>
      </c>
      <c r="H33" s="145">
        <v>0</v>
      </c>
      <c r="I33" s="145">
        <v>0</v>
      </c>
      <c r="J33" s="141">
        <f t="shared" si="2"/>
        <v>0</v>
      </c>
      <c r="K33" s="145">
        <v>0</v>
      </c>
      <c r="L33" s="145">
        <v>0</v>
      </c>
      <c r="M33" s="141">
        <f t="shared" si="3"/>
        <v>0</v>
      </c>
      <c r="N33" s="145">
        <v>0</v>
      </c>
      <c r="O33" s="145">
        <v>0</v>
      </c>
      <c r="P33" s="141">
        <f t="shared" si="4"/>
        <v>0</v>
      </c>
      <c r="Q33" s="145">
        <v>0</v>
      </c>
      <c r="R33" s="145">
        <v>0</v>
      </c>
      <c r="S33" s="141">
        <f t="shared" si="5"/>
        <v>0</v>
      </c>
      <c r="T33" s="145">
        <v>0</v>
      </c>
      <c r="U33" s="145">
        <v>0</v>
      </c>
      <c r="V33" s="141">
        <f t="shared" si="6"/>
        <v>0</v>
      </c>
      <c r="W33" s="145">
        <v>0</v>
      </c>
      <c r="X33" s="145">
        <v>0</v>
      </c>
      <c r="Y33" s="141">
        <f t="shared" si="7"/>
        <v>0</v>
      </c>
      <c r="Z33" s="145">
        <v>0</v>
      </c>
      <c r="AA33" s="145">
        <v>0</v>
      </c>
      <c r="AB33" s="141">
        <f t="shared" si="8"/>
        <v>0</v>
      </c>
      <c r="AC33" s="142">
        <v>50</v>
      </c>
      <c r="AD33" s="143">
        <v>9.5</v>
      </c>
      <c r="AE33" s="444">
        <f t="shared" si="9"/>
        <v>0.08636363636363636</v>
      </c>
      <c r="AF33" s="526">
        <f t="shared" si="10"/>
        <v>0.1357142857142857</v>
      </c>
      <c r="AG33" s="526"/>
      <c r="AH33" s="526"/>
      <c r="AI33" s="532">
        <f t="shared" si="11"/>
        <v>0.1357142857142857</v>
      </c>
    </row>
    <row r="34" spans="1:35" ht="12.75">
      <c r="A34" s="164">
        <v>40</v>
      </c>
      <c r="B34" s="147">
        <v>0</v>
      </c>
      <c r="C34" s="147">
        <v>0</v>
      </c>
      <c r="D34" s="141">
        <f t="shared" si="0"/>
        <v>0</v>
      </c>
      <c r="E34" s="147">
        <v>12.5</v>
      </c>
      <c r="F34" s="147">
        <v>0.3125</v>
      </c>
      <c r="G34" s="141">
        <f t="shared" si="1"/>
        <v>0.38580246913580246</v>
      </c>
      <c r="H34" s="147">
        <v>10</v>
      </c>
      <c r="I34" s="147">
        <v>0.25</v>
      </c>
      <c r="J34" s="141">
        <f t="shared" si="2"/>
        <v>0.22727272727272727</v>
      </c>
      <c r="K34" s="147">
        <v>0</v>
      </c>
      <c r="L34" s="147">
        <v>0</v>
      </c>
      <c r="M34" s="141">
        <f t="shared" si="3"/>
        <v>0</v>
      </c>
      <c r="N34" s="147">
        <v>112</v>
      </c>
      <c r="O34" s="147">
        <v>11.2</v>
      </c>
      <c r="P34" s="141">
        <f t="shared" si="4"/>
        <v>1</v>
      </c>
      <c r="Q34" s="147">
        <v>90</v>
      </c>
      <c r="R34" s="147">
        <v>27</v>
      </c>
      <c r="S34" s="141">
        <f t="shared" si="5"/>
        <v>0.48128342245989303</v>
      </c>
      <c r="T34" s="147">
        <v>0</v>
      </c>
      <c r="U34" s="147">
        <v>0</v>
      </c>
      <c r="V34" s="141">
        <f t="shared" si="6"/>
        <v>0</v>
      </c>
      <c r="W34" s="147">
        <v>0</v>
      </c>
      <c r="X34" s="147">
        <v>0</v>
      </c>
      <c r="Y34" s="141">
        <f t="shared" si="7"/>
        <v>0</v>
      </c>
      <c r="Z34" s="147">
        <v>0</v>
      </c>
      <c r="AA34" s="147">
        <v>0</v>
      </c>
      <c r="AB34" s="141">
        <f t="shared" si="8"/>
        <v>0</v>
      </c>
      <c r="AC34" s="142">
        <v>224.5</v>
      </c>
      <c r="AD34" s="143">
        <v>38.7625</v>
      </c>
      <c r="AE34" s="444">
        <f t="shared" si="9"/>
        <v>0.35238636363636366</v>
      </c>
      <c r="AF34" s="526">
        <f t="shared" si="10"/>
        <v>0.39375000000000004</v>
      </c>
      <c r="AG34" s="526"/>
      <c r="AH34" s="526"/>
      <c r="AI34" s="532">
        <f t="shared" si="11"/>
        <v>0.39375000000000004</v>
      </c>
    </row>
    <row r="35" spans="1:35" ht="12.75">
      <c r="A35" s="164">
        <v>41</v>
      </c>
      <c r="B35" s="147">
        <v>3</v>
      </c>
      <c r="C35" s="147">
        <v>0.15</v>
      </c>
      <c r="D35" s="141">
        <f t="shared" si="0"/>
        <v>0.06818181818181818</v>
      </c>
      <c r="E35" s="147">
        <v>32.4</v>
      </c>
      <c r="F35" s="147">
        <v>0.81</v>
      </c>
      <c r="G35" s="141">
        <f t="shared" si="1"/>
        <v>1</v>
      </c>
      <c r="H35" s="147">
        <v>0</v>
      </c>
      <c r="I35" s="147">
        <v>0</v>
      </c>
      <c r="J35" s="141">
        <f t="shared" si="2"/>
        <v>0</v>
      </c>
      <c r="K35" s="147">
        <v>42.5</v>
      </c>
      <c r="L35" s="147">
        <v>12.75</v>
      </c>
      <c r="M35" s="141">
        <f t="shared" si="3"/>
        <v>0.6666666666666666</v>
      </c>
      <c r="N35" s="147">
        <v>70</v>
      </c>
      <c r="O35" s="147">
        <v>7</v>
      </c>
      <c r="P35" s="141">
        <f t="shared" si="4"/>
        <v>0.625</v>
      </c>
      <c r="Q35" s="147">
        <v>0</v>
      </c>
      <c r="R35" s="147">
        <v>0</v>
      </c>
      <c r="S35" s="141">
        <f t="shared" si="5"/>
        <v>0</v>
      </c>
      <c r="T35" s="147">
        <v>8</v>
      </c>
      <c r="U35" s="147">
        <v>0.8</v>
      </c>
      <c r="V35" s="141">
        <f t="shared" si="6"/>
        <v>1</v>
      </c>
      <c r="W35" s="147">
        <v>10</v>
      </c>
      <c r="X35" s="147">
        <v>1</v>
      </c>
      <c r="Y35" s="141">
        <f t="shared" si="7"/>
        <v>1</v>
      </c>
      <c r="Z35" s="147">
        <v>3</v>
      </c>
      <c r="AA35" s="147">
        <v>0.3</v>
      </c>
      <c r="AB35" s="141">
        <f t="shared" si="8"/>
        <v>0.05172413793103448</v>
      </c>
      <c r="AC35" s="142">
        <v>168.9</v>
      </c>
      <c r="AD35" s="143">
        <v>22.81</v>
      </c>
      <c r="AE35" s="444">
        <f t="shared" si="9"/>
        <v>0.20736363636363636</v>
      </c>
      <c r="AF35" s="526">
        <f t="shared" si="10"/>
        <v>0.0437142857142857</v>
      </c>
      <c r="AG35" s="526"/>
      <c r="AH35" s="526"/>
      <c r="AI35" s="532">
        <f t="shared" si="11"/>
        <v>0.0437142857142857</v>
      </c>
    </row>
    <row r="36" spans="1:35" ht="12.75">
      <c r="A36" s="164" t="s">
        <v>798</v>
      </c>
      <c r="B36" s="145">
        <v>8</v>
      </c>
      <c r="C36" s="145">
        <v>0.4</v>
      </c>
      <c r="D36" s="141">
        <f t="shared" si="0"/>
        <v>0.18181818181818182</v>
      </c>
      <c r="E36" s="145">
        <v>0</v>
      </c>
      <c r="F36" s="145">
        <v>0</v>
      </c>
      <c r="G36" s="141">
        <f t="shared" si="1"/>
        <v>0</v>
      </c>
      <c r="H36" s="145">
        <v>0</v>
      </c>
      <c r="I36" s="145">
        <v>0</v>
      </c>
      <c r="J36" s="141">
        <f t="shared" si="2"/>
        <v>0</v>
      </c>
      <c r="K36" s="145">
        <v>42.5</v>
      </c>
      <c r="L36" s="145">
        <v>12.75</v>
      </c>
      <c r="M36" s="141">
        <f t="shared" si="3"/>
        <v>0.6666666666666666</v>
      </c>
      <c r="N36" s="145">
        <v>0</v>
      </c>
      <c r="O36" s="145">
        <v>0</v>
      </c>
      <c r="P36" s="141">
        <f t="shared" si="4"/>
        <v>0</v>
      </c>
      <c r="Q36" s="145">
        <v>0</v>
      </c>
      <c r="R36" s="145">
        <v>0</v>
      </c>
      <c r="S36" s="141">
        <f t="shared" si="5"/>
        <v>0</v>
      </c>
      <c r="T36" s="145">
        <v>0</v>
      </c>
      <c r="U36" s="145">
        <v>0</v>
      </c>
      <c r="V36" s="141">
        <f t="shared" si="6"/>
        <v>0</v>
      </c>
      <c r="W36" s="145">
        <v>0</v>
      </c>
      <c r="X36" s="145">
        <v>0</v>
      </c>
      <c r="Y36" s="141">
        <f t="shared" si="7"/>
        <v>0</v>
      </c>
      <c r="Z36" s="145">
        <v>0</v>
      </c>
      <c r="AA36" s="153">
        <v>0</v>
      </c>
      <c r="AB36" s="141">
        <f t="shared" si="8"/>
        <v>0</v>
      </c>
      <c r="AC36" s="142">
        <v>50.5</v>
      </c>
      <c r="AD36" s="143">
        <v>13.15</v>
      </c>
      <c r="AE36" s="444">
        <f t="shared" si="9"/>
        <v>0.11954545454545455</v>
      </c>
      <c r="AF36" s="526">
        <f t="shared" si="10"/>
        <v>0.0057142857142857195</v>
      </c>
      <c r="AG36" s="526"/>
      <c r="AH36" s="526"/>
      <c r="AI36" s="532">
        <f t="shared" si="11"/>
        <v>0.0057142857142857195</v>
      </c>
    </row>
    <row r="37" spans="1:35" ht="12.75">
      <c r="A37" s="490" t="s">
        <v>799</v>
      </c>
      <c r="B37" s="145"/>
      <c r="C37" s="145"/>
      <c r="D37" s="141">
        <f t="shared" si="0"/>
        <v>0</v>
      </c>
      <c r="E37" s="145"/>
      <c r="F37" s="145"/>
      <c r="G37" s="141">
        <f t="shared" si="1"/>
        <v>0</v>
      </c>
      <c r="H37" s="145"/>
      <c r="I37" s="145"/>
      <c r="J37" s="141">
        <f t="shared" si="2"/>
        <v>0</v>
      </c>
      <c r="K37" s="145"/>
      <c r="L37" s="145"/>
      <c r="M37" s="141">
        <f t="shared" si="3"/>
        <v>0</v>
      </c>
      <c r="N37" s="145"/>
      <c r="O37" s="145"/>
      <c r="P37" s="141">
        <f t="shared" si="4"/>
        <v>0</v>
      </c>
      <c r="Q37" s="145"/>
      <c r="R37" s="145"/>
      <c r="S37" s="141">
        <f t="shared" si="5"/>
        <v>0</v>
      </c>
      <c r="T37" s="145"/>
      <c r="U37" s="145"/>
      <c r="V37" s="141">
        <f t="shared" si="6"/>
        <v>0</v>
      </c>
      <c r="W37" s="145"/>
      <c r="X37" s="145"/>
      <c r="Y37" s="141">
        <f t="shared" si="7"/>
        <v>0</v>
      </c>
      <c r="Z37" s="145"/>
      <c r="AA37" s="153"/>
      <c r="AB37" s="141">
        <f t="shared" si="8"/>
        <v>0</v>
      </c>
      <c r="AC37" s="142"/>
      <c r="AD37" s="143"/>
      <c r="AE37" s="444">
        <f t="shared" si="9"/>
        <v>0</v>
      </c>
      <c r="AF37" s="526"/>
      <c r="AG37" s="526"/>
      <c r="AH37" s="526"/>
      <c r="AI37" s="532"/>
    </row>
    <row r="38" spans="1:35" ht="12.75">
      <c r="A38" s="164">
        <v>44</v>
      </c>
      <c r="B38" s="140">
        <v>11</v>
      </c>
      <c r="C38" s="140">
        <v>0.55</v>
      </c>
      <c r="D38" s="141">
        <f t="shared" si="0"/>
        <v>0.25</v>
      </c>
      <c r="E38" s="140">
        <v>22.5</v>
      </c>
      <c r="F38" s="140">
        <v>0.5625</v>
      </c>
      <c r="G38" s="141">
        <f t="shared" si="1"/>
        <v>0.6944444444444444</v>
      </c>
      <c r="H38" s="140">
        <v>20</v>
      </c>
      <c r="I38" s="140">
        <v>0.5</v>
      </c>
      <c r="J38" s="141">
        <f t="shared" si="2"/>
        <v>0.45454545454545453</v>
      </c>
      <c r="K38" s="140">
        <v>30</v>
      </c>
      <c r="L38" s="140">
        <v>9</v>
      </c>
      <c r="M38" s="141">
        <f t="shared" si="3"/>
        <v>0.47058823529411764</v>
      </c>
      <c r="N38" s="140">
        <v>91</v>
      </c>
      <c r="O38" s="140">
        <v>9.1</v>
      </c>
      <c r="P38" s="141">
        <f t="shared" si="4"/>
        <v>0.8125</v>
      </c>
      <c r="Q38" s="140">
        <v>0</v>
      </c>
      <c r="R38" s="140">
        <v>0</v>
      </c>
      <c r="S38" s="141">
        <f t="shared" si="5"/>
        <v>0</v>
      </c>
      <c r="T38" s="140">
        <v>0</v>
      </c>
      <c r="U38" s="140">
        <v>0</v>
      </c>
      <c r="V38" s="141">
        <f t="shared" si="6"/>
        <v>0</v>
      </c>
      <c r="W38" s="140">
        <v>0</v>
      </c>
      <c r="X38" s="140">
        <v>0</v>
      </c>
      <c r="Y38" s="141">
        <f t="shared" si="7"/>
        <v>0</v>
      </c>
      <c r="Z38" s="140">
        <v>8</v>
      </c>
      <c r="AA38" s="154">
        <v>0.8</v>
      </c>
      <c r="AB38" s="141">
        <f t="shared" si="8"/>
        <v>0.13793103448275862</v>
      </c>
      <c r="AC38" s="142">
        <v>182.5</v>
      </c>
      <c r="AD38" s="143">
        <v>20.5125</v>
      </c>
      <c r="AE38" s="444">
        <f t="shared" si="9"/>
        <v>0.1864772727272727</v>
      </c>
      <c r="AF38" s="526">
        <f t="shared" si="10"/>
        <v>0.03446428571428568</v>
      </c>
      <c r="AG38" s="526"/>
      <c r="AH38" s="526"/>
      <c r="AI38" s="532">
        <f t="shared" si="11"/>
        <v>0.03446428571428568</v>
      </c>
    </row>
    <row r="39" spans="1:35" ht="12.75">
      <c r="A39" s="164">
        <v>45</v>
      </c>
      <c r="B39" s="140">
        <v>14</v>
      </c>
      <c r="C39" s="140">
        <v>0.7</v>
      </c>
      <c r="D39" s="141">
        <f t="shared" si="0"/>
        <v>0.3181818181818182</v>
      </c>
      <c r="E39" s="140">
        <v>22.5</v>
      </c>
      <c r="F39" s="140">
        <v>0.5625</v>
      </c>
      <c r="G39" s="141">
        <f t="shared" si="1"/>
        <v>0.6944444444444444</v>
      </c>
      <c r="H39" s="140">
        <v>40</v>
      </c>
      <c r="I39" s="140">
        <v>1</v>
      </c>
      <c r="J39" s="141">
        <f t="shared" si="2"/>
        <v>0.9090909090909091</v>
      </c>
      <c r="K39" s="140">
        <v>42.5</v>
      </c>
      <c r="L39" s="140">
        <v>12.75</v>
      </c>
      <c r="M39" s="141">
        <f t="shared" si="3"/>
        <v>0.6666666666666666</v>
      </c>
      <c r="N39" s="140">
        <v>91</v>
      </c>
      <c r="O39" s="140">
        <v>9.1</v>
      </c>
      <c r="P39" s="141">
        <f t="shared" si="4"/>
        <v>0.8125</v>
      </c>
      <c r="Q39" s="140">
        <v>0</v>
      </c>
      <c r="R39" s="140">
        <v>0</v>
      </c>
      <c r="S39" s="141">
        <f t="shared" si="5"/>
        <v>0</v>
      </c>
      <c r="T39" s="140">
        <v>0</v>
      </c>
      <c r="U39" s="140">
        <v>0</v>
      </c>
      <c r="V39" s="141">
        <f t="shared" si="6"/>
        <v>0</v>
      </c>
      <c r="W39" s="140">
        <v>0</v>
      </c>
      <c r="X39" s="140">
        <v>0</v>
      </c>
      <c r="Y39" s="141">
        <f t="shared" si="7"/>
        <v>0</v>
      </c>
      <c r="Z39" s="140">
        <v>8</v>
      </c>
      <c r="AA39" s="140">
        <v>0.8</v>
      </c>
      <c r="AB39" s="141">
        <f t="shared" si="8"/>
        <v>0.13793103448275862</v>
      </c>
      <c r="AC39" s="142">
        <v>218</v>
      </c>
      <c r="AD39" s="143">
        <v>24.9125</v>
      </c>
      <c r="AE39" s="444">
        <f t="shared" si="9"/>
        <v>0.22647727272727275</v>
      </c>
      <c r="AF39" s="526">
        <f t="shared" si="10"/>
        <v>0.04375</v>
      </c>
      <c r="AG39" s="526"/>
      <c r="AH39" s="526"/>
      <c r="AI39" s="532">
        <f t="shared" si="11"/>
        <v>0.04375</v>
      </c>
    </row>
    <row r="40" spans="1:35" ht="12.75">
      <c r="A40" s="233">
        <v>46</v>
      </c>
      <c r="B40" s="140"/>
      <c r="C40" s="140"/>
      <c r="D40" s="141">
        <f t="shared" si="0"/>
        <v>0</v>
      </c>
      <c r="E40" s="140"/>
      <c r="F40" s="140"/>
      <c r="G40" s="141">
        <f t="shared" si="1"/>
        <v>0</v>
      </c>
      <c r="H40" s="140"/>
      <c r="I40" s="140"/>
      <c r="J40" s="141">
        <f t="shared" si="2"/>
        <v>0</v>
      </c>
      <c r="K40" s="140"/>
      <c r="L40" s="140"/>
      <c r="M40" s="141">
        <f t="shared" si="3"/>
        <v>0</v>
      </c>
      <c r="N40" s="140"/>
      <c r="O40" s="140"/>
      <c r="P40" s="141">
        <f t="shared" si="4"/>
        <v>0</v>
      </c>
      <c r="Q40" s="140"/>
      <c r="R40" s="140"/>
      <c r="S40" s="141">
        <f t="shared" si="5"/>
        <v>0</v>
      </c>
      <c r="T40" s="140"/>
      <c r="U40" s="140"/>
      <c r="V40" s="141">
        <f t="shared" si="6"/>
        <v>0</v>
      </c>
      <c r="W40" s="140"/>
      <c r="X40" s="140"/>
      <c r="Y40" s="141">
        <f t="shared" si="7"/>
        <v>0</v>
      </c>
      <c r="Z40" s="140"/>
      <c r="AA40" s="140"/>
      <c r="AB40" s="141">
        <f t="shared" si="8"/>
        <v>0</v>
      </c>
      <c r="AC40" s="142"/>
      <c r="AD40" s="143"/>
      <c r="AE40" s="444">
        <f t="shared" si="9"/>
        <v>0</v>
      </c>
      <c r="AF40" s="526"/>
      <c r="AG40" s="526"/>
      <c r="AH40" s="526"/>
      <c r="AI40" s="532"/>
    </row>
    <row r="41" spans="1:35" ht="12.75">
      <c r="A41" s="202">
        <v>47</v>
      </c>
      <c r="B41" s="145">
        <v>0</v>
      </c>
      <c r="C41" s="145">
        <v>0</v>
      </c>
      <c r="D41" s="141">
        <f t="shared" si="0"/>
        <v>0</v>
      </c>
      <c r="E41" s="145">
        <v>19.5</v>
      </c>
      <c r="F41" s="145">
        <v>0.4875</v>
      </c>
      <c r="G41" s="141">
        <f t="shared" si="1"/>
        <v>0.6018518518518519</v>
      </c>
      <c r="H41" s="145">
        <v>0</v>
      </c>
      <c r="I41" s="145">
        <v>0</v>
      </c>
      <c r="J41" s="141">
        <f t="shared" si="2"/>
        <v>0</v>
      </c>
      <c r="K41" s="145">
        <v>0</v>
      </c>
      <c r="L41" s="145">
        <v>0</v>
      </c>
      <c r="M41" s="141">
        <f t="shared" si="3"/>
        <v>0</v>
      </c>
      <c r="N41" s="145">
        <v>0</v>
      </c>
      <c r="O41" s="145">
        <v>0</v>
      </c>
      <c r="P41" s="141">
        <f t="shared" si="4"/>
        <v>0</v>
      </c>
      <c r="Q41" s="145">
        <v>18</v>
      </c>
      <c r="R41" s="145">
        <v>5.4</v>
      </c>
      <c r="S41" s="141">
        <f t="shared" si="5"/>
        <v>0.0962566844919786</v>
      </c>
      <c r="T41" s="145">
        <v>0</v>
      </c>
      <c r="U41" s="145">
        <v>0</v>
      </c>
      <c r="V41" s="141">
        <f t="shared" si="6"/>
        <v>0</v>
      </c>
      <c r="W41" s="145">
        <v>10</v>
      </c>
      <c r="X41" s="145">
        <v>1</v>
      </c>
      <c r="Y41" s="141">
        <f t="shared" si="7"/>
        <v>1</v>
      </c>
      <c r="Z41" s="145">
        <v>0</v>
      </c>
      <c r="AA41" s="145">
        <v>0</v>
      </c>
      <c r="AB41" s="141">
        <f t="shared" si="8"/>
        <v>0</v>
      </c>
      <c r="AC41" s="142">
        <v>47.5</v>
      </c>
      <c r="AD41" s="143">
        <v>6.8875</v>
      </c>
      <c r="AE41" s="444">
        <f t="shared" si="9"/>
        <v>0.06261363636363637</v>
      </c>
      <c r="AF41" s="526"/>
      <c r="AG41" s="526">
        <f>(AD41-(R41+U41+X41))/60</f>
        <v>0.008124999999999997</v>
      </c>
      <c r="AH41" s="526"/>
      <c r="AI41" s="532">
        <f t="shared" si="11"/>
        <v>0.008124999999999997</v>
      </c>
    </row>
    <row r="42" spans="1:35" ht="12.75">
      <c r="A42" s="233">
        <v>49</v>
      </c>
      <c r="B42" s="145"/>
      <c r="C42" s="145"/>
      <c r="D42" s="141">
        <f t="shared" si="0"/>
        <v>0</v>
      </c>
      <c r="E42" s="145"/>
      <c r="F42" s="145"/>
      <c r="G42" s="141">
        <f t="shared" si="1"/>
        <v>0</v>
      </c>
      <c r="H42" s="145"/>
      <c r="I42" s="145"/>
      <c r="J42" s="141">
        <f t="shared" si="2"/>
        <v>0</v>
      </c>
      <c r="K42" s="145"/>
      <c r="L42" s="145"/>
      <c r="M42" s="141">
        <f t="shared" si="3"/>
        <v>0</v>
      </c>
      <c r="N42" s="145"/>
      <c r="O42" s="145"/>
      <c r="P42" s="141">
        <f t="shared" si="4"/>
        <v>0</v>
      </c>
      <c r="Q42" s="145"/>
      <c r="R42" s="145"/>
      <c r="S42" s="141">
        <f t="shared" si="5"/>
        <v>0</v>
      </c>
      <c r="T42" s="145"/>
      <c r="U42" s="145"/>
      <c r="V42" s="141">
        <f t="shared" si="6"/>
        <v>0</v>
      </c>
      <c r="W42" s="145"/>
      <c r="X42" s="145"/>
      <c r="Y42" s="141">
        <f t="shared" si="7"/>
        <v>0</v>
      </c>
      <c r="Z42" s="145"/>
      <c r="AA42" s="145"/>
      <c r="AB42" s="141">
        <f t="shared" si="8"/>
        <v>0</v>
      </c>
      <c r="AC42" s="142"/>
      <c r="AD42" s="143"/>
      <c r="AE42" s="444">
        <f t="shared" si="9"/>
        <v>0</v>
      </c>
      <c r="AF42" s="526"/>
      <c r="AG42" s="526"/>
      <c r="AH42" s="526"/>
      <c r="AI42" s="532"/>
    </row>
    <row r="43" spans="1:35" ht="12.75">
      <c r="A43" s="164">
        <v>50</v>
      </c>
      <c r="B43" s="140">
        <v>10</v>
      </c>
      <c r="C43" s="140">
        <v>0.5</v>
      </c>
      <c r="D43" s="141">
        <f t="shared" si="0"/>
        <v>0.22727272727272727</v>
      </c>
      <c r="E43" s="140">
        <v>0</v>
      </c>
      <c r="F43" s="140">
        <v>0</v>
      </c>
      <c r="G43" s="141">
        <f t="shared" si="1"/>
        <v>0</v>
      </c>
      <c r="H43" s="140">
        <v>10</v>
      </c>
      <c r="I43" s="140">
        <v>0.25</v>
      </c>
      <c r="J43" s="141">
        <f t="shared" si="2"/>
        <v>0.22727272727272727</v>
      </c>
      <c r="K43" s="140">
        <v>62.5</v>
      </c>
      <c r="L43" s="140">
        <v>18.75</v>
      </c>
      <c r="M43" s="141">
        <f t="shared" si="3"/>
        <v>0.9803921568627451</v>
      </c>
      <c r="N43" s="140">
        <v>0</v>
      </c>
      <c r="O43" s="140">
        <v>0</v>
      </c>
      <c r="P43" s="141">
        <f t="shared" si="4"/>
        <v>0</v>
      </c>
      <c r="Q43" s="140">
        <v>0</v>
      </c>
      <c r="R43" s="140">
        <v>0</v>
      </c>
      <c r="S43" s="141">
        <f t="shared" si="5"/>
        <v>0</v>
      </c>
      <c r="T43" s="140">
        <v>0</v>
      </c>
      <c r="U43" s="140">
        <v>0</v>
      </c>
      <c r="V43" s="141">
        <f t="shared" si="6"/>
        <v>0</v>
      </c>
      <c r="W43" s="140">
        <v>0</v>
      </c>
      <c r="X43" s="140">
        <v>0</v>
      </c>
      <c r="Y43" s="141">
        <f t="shared" si="7"/>
        <v>0</v>
      </c>
      <c r="Z43" s="140">
        <v>0</v>
      </c>
      <c r="AA43" s="140">
        <v>0</v>
      </c>
      <c r="AB43" s="141">
        <f t="shared" si="8"/>
        <v>0</v>
      </c>
      <c r="AC43" s="142">
        <v>82.5</v>
      </c>
      <c r="AD43" s="143">
        <v>19.5</v>
      </c>
      <c r="AE43" s="444">
        <f t="shared" si="9"/>
        <v>0.17727272727272728</v>
      </c>
      <c r="AF43" s="526">
        <f t="shared" si="10"/>
        <v>0.010714285714285714</v>
      </c>
      <c r="AG43" s="526"/>
      <c r="AH43" s="526"/>
      <c r="AI43" s="532">
        <f t="shared" si="11"/>
        <v>0.010714285714285714</v>
      </c>
    </row>
    <row r="44" spans="1:35" ht="12.75">
      <c r="A44" s="164">
        <v>51</v>
      </c>
      <c r="B44" s="140">
        <v>3</v>
      </c>
      <c r="C44" s="140">
        <v>0.15</v>
      </c>
      <c r="D44" s="141">
        <f t="shared" si="0"/>
        <v>0.06818181818181818</v>
      </c>
      <c r="E44" s="140">
        <v>0</v>
      </c>
      <c r="F44" s="140">
        <v>0</v>
      </c>
      <c r="G44" s="141">
        <f t="shared" si="1"/>
        <v>0</v>
      </c>
      <c r="H44" s="140">
        <v>0</v>
      </c>
      <c r="I44" s="140">
        <v>0</v>
      </c>
      <c r="J44" s="141">
        <f t="shared" si="2"/>
        <v>0</v>
      </c>
      <c r="K44" s="140">
        <v>42.5</v>
      </c>
      <c r="L44" s="140">
        <v>12.75</v>
      </c>
      <c r="M44" s="141">
        <f t="shared" si="3"/>
        <v>0.6666666666666666</v>
      </c>
      <c r="N44" s="140">
        <v>0</v>
      </c>
      <c r="O44" s="140">
        <v>0</v>
      </c>
      <c r="P44" s="141">
        <f t="shared" si="4"/>
        <v>0</v>
      </c>
      <c r="Q44" s="140">
        <v>90</v>
      </c>
      <c r="R44" s="140">
        <v>27</v>
      </c>
      <c r="S44" s="141">
        <f t="shared" si="5"/>
        <v>0.48128342245989303</v>
      </c>
      <c r="T44" s="140">
        <v>0</v>
      </c>
      <c r="U44" s="140">
        <v>0</v>
      </c>
      <c r="V44" s="141">
        <f t="shared" si="6"/>
        <v>0</v>
      </c>
      <c r="W44" s="140">
        <v>0</v>
      </c>
      <c r="X44" s="140">
        <v>0</v>
      </c>
      <c r="Y44" s="141">
        <f t="shared" si="7"/>
        <v>0</v>
      </c>
      <c r="Z44" s="140">
        <v>0</v>
      </c>
      <c r="AA44" s="140">
        <v>0</v>
      </c>
      <c r="AB44" s="141">
        <f t="shared" si="8"/>
        <v>0</v>
      </c>
      <c r="AC44" s="142">
        <v>135.5</v>
      </c>
      <c r="AD44" s="143">
        <v>39.9</v>
      </c>
      <c r="AE44" s="444">
        <f t="shared" si="9"/>
        <v>0.36272727272727273</v>
      </c>
      <c r="AF44" s="526">
        <f t="shared" si="10"/>
        <v>0.38785714285714284</v>
      </c>
      <c r="AG44" s="526"/>
      <c r="AH44" s="526"/>
      <c r="AI44" s="532">
        <f t="shared" si="11"/>
        <v>0.38785714285714284</v>
      </c>
    </row>
    <row r="45" spans="1:35" ht="12.75">
      <c r="A45" s="185" t="s">
        <v>800</v>
      </c>
      <c r="B45" s="140">
        <v>0</v>
      </c>
      <c r="C45" s="140">
        <v>0</v>
      </c>
      <c r="D45" s="141">
        <f t="shared" si="0"/>
        <v>0</v>
      </c>
      <c r="E45" s="140">
        <v>0</v>
      </c>
      <c r="F45" s="140">
        <v>0</v>
      </c>
      <c r="G45" s="141">
        <f t="shared" si="1"/>
        <v>0</v>
      </c>
      <c r="H45" s="140">
        <v>0</v>
      </c>
      <c r="I45" s="140">
        <v>0</v>
      </c>
      <c r="J45" s="141">
        <f t="shared" si="2"/>
        <v>0</v>
      </c>
      <c r="K45" s="140">
        <v>0</v>
      </c>
      <c r="L45" s="140">
        <v>0</v>
      </c>
      <c r="M45" s="141">
        <f t="shared" si="3"/>
        <v>0</v>
      </c>
      <c r="N45" s="140">
        <v>42</v>
      </c>
      <c r="O45" s="140">
        <v>4.2</v>
      </c>
      <c r="P45" s="141">
        <f t="shared" si="4"/>
        <v>0.375</v>
      </c>
      <c r="Q45" s="140">
        <v>0</v>
      </c>
      <c r="R45" s="140">
        <v>0</v>
      </c>
      <c r="S45" s="141">
        <f t="shared" si="5"/>
        <v>0</v>
      </c>
      <c r="T45" s="140">
        <v>0</v>
      </c>
      <c r="U45" s="140">
        <v>0</v>
      </c>
      <c r="V45" s="141">
        <f t="shared" si="6"/>
        <v>0</v>
      </c>
      <c r="W45" s="140">
        <v>0</v>
      </c>
      <c r="X45" s="140">
        <v>0</v>
      </c>
      <c r="Y45" s="141">
        <f t="shared" si="7"/>
        <v>0</v>
      </c>
      <c r="Z45" s="140">
        <v>0</v>
      </c>
      <c r="AA45" s="140">
        <v>0</v>
      </c>
      <c r="AB45" s="141">
        <f t="shared" si="8"/>
        <v>0</v>
      </c>
      <c r="AC45" s="142">
        <v>42</v>
      </c>
      <c r="AD45" s="143">
        <v>4.2</v>
      </c>
      <c r="AE45" s="444">
        <f t="shared" si="9"/>
        <v>0.038181818181818185</v>
      </c>
      <c r="AF45" s="526">
        <f t="shared" si="10"/>
        <v>0</v>
      </c>
      <c r="AG45" s="526"/>
      <c r="AH45" s="526"/>
      <c r="AI45" s="532">
        <f t="shared" si="11"/>
        <v>0</v>
      </c>
    </row>
    <row r="46" spans="1:35" ht="12.75">
      <c r="A46" s="233" t="s">
        <v>801</v>
      </c>
      <c r="B46" s="140"/>
      <c r="C46" s="140"/>
      <c r="D46" s="141">
        <f t="shared" si="0"/>
        <v>0</v>
      </c>
      <c r="E46" s="140"/>
      <c r="F46" s="140"/>
      <c r="G46" s="141">
        <f t="shared" si="1"/>
        <v>0</v>
      </c>
      <c r="H46" s="140"/>
      <c r="I46" s="140"/>
      <c r="J46" s="141">
        <f t="shared" si="2"/>
        <v>0</v>
      </c>
      <c r="K46" s="140"/>
      <c r="L46" s="140"/>
      <c r="M46" s="141">
        <f t="shared" si="3"/>
        <v>0</v>
      </c>
      <c r="N46" s="140"/>
      <c r="O46" s="140"/>
      <c r="P46" s="141">
        <f t="shared" si="4"/>
        <v>0</v>
      </c>
      <c r="Q46" s="140"/>
      <c r="R46" s="140"/>
      <c r="S46" s="141">
        <f t="shared" si="5"/>
        <v>0</v>
      </c>
      <c r="T46" s="140"/>
      <c r="U46" s="140"/>
      <c r="V46" s="141">
        <f t="shared" si="6"/>
        <v>0</v>
      </c>
      <c r="W46" s="140"/>
      <c r="X46" s="140"/>
      <c r="Y46" s="141">
        <f t="shared" si="7"/>
        <v>0</v>
      </c>
      <c r="Z46" s="140"/>
      <c r="AA46" s="140"/>
      <c r="AB46" s="141">
        <f t="shared" si="8"/>
        <v>0</v>
      </c>
      <c r="AC46" s="142"/>
      <c r="AD46" s="143"/>
      <c r="AE46" s="444">
        <f t="shared" si="9"/>
        <v>0</v>
      </c>
      <c r="AF46" s="526"/>
      <c r="AG46" s="526"/>
      <c r="AH46" s="526"/>
      <c r="AI46" s="532"/>
    </row>
    <row r="47" spans="1:35" ht="12.75">
      <c r="A47" s="185">
        <v>53</v>
      </c>
      <c r="B47" s="140">
        <v>5</v>
      </c>
      <c r="C47" s="140">
        <v>0.25</v>
      </c>
      <c r="D47" s="141">
        <f t="shared" si="0"/>
        <v>0.11363636363636363</v>
      </c>
      <c r="E47" s="140">
        <v>0</v>
      </c>
      <c r="F47" s="140">
        <v>0</v>
      </c>
      <c r="G47" s="141">
        <f t="shared" si="1"/>
        <v>0</v>
      </c>
      <c r="H47" s="140">
        <v>0</v>
      </c>
      <c r="I47" s="140">
        <v>0</v>
      </c>
      <c r="J47" s="141">
        <f t="shared" si="2"/>
        <v>0</v>
      </c>
      <c r="K47" s="140">
        <v>1.5</v>
      </c>
      <c r="L47" s="140">
        <v>0.45</v>
      </c>
      <c r="M47" s="141">
        <f t="shared" si="3"/>
        <v>0.023529411764705882</v>
      </c>
      <c r="N47" s="140">
        <v>0</v>
      </c>
      <c r="O47" s="140">
        <v>0</v>
      </c>
      <c r="P47" s="141">
        <f t="shared" si="4"/>
        <v>0</v>
      </c>
      <c r="Q47" s="140">
        <v>0</v>
      </c>
      <c r="R47" s="140">
        <v>0</v>
      </c>
      <c r="S47" s="141">
        <f t="shared" si="5"/>
        <v>0</v>
      </c>
      <c r="T47" s="140">
        <v>0</v>
      </c>
      <c r="U47" s="140">
        <v>0</v>
      </c>
      <c r="V47" s="141">
        <f t="shared" si="6"/>
        <v>0</v>
      </c>
      <c r="W47" s="140">
        <v>0</v>
      </c>
      <c r="X47" s="140">
        <v>0</v>
      </c>
      <c r="Y47" s="141">
        <f t="shared" si="7"/>
        <v>0</v>
      </c>
      <c r="Z47" s="140">
        <v>0</v>
      </c>
      <c r="AA47" s="140">
        <v>0</v>
      </c>
      <c r="AB47" s="141">
        <f t="shared" si="8"/>
        <v>0</v>
      </c>
      <c r="AC47" s="142">
        <v>6.5</v>
      </c>
      <c r="AD47" s="143">
        <v>0.7</v>
      </c>
      <c r="AE47" s="444">
        <f t="shared" si="9"/>
        <v>0.006363636363636363</v>
      </c>
      <c r="AF47" s="528">
        <f t="shared" si="10"/>
        <v>0.0035714285714285704</v>
      </c>
      <c r="AG47" s="526"/>
      <c r="AH47" s="526"/>
      <c r="AI47" s="532">
        <f t="shared" si="11"/>
        <v>0.0035714285714285704</v>
      </c>
    </row>
    <row r="48" spans="1:35" ht="12.75">
      <c r="A48" s="164">
        <v>54</v>
      </c>
      <c r="B48" s="147">
        <v>8</v>
      </c>
      <c r="C48" s="147">
        <v>0.4</v>
      </c>
      <c r="D48" s="141">
        <f t="shared" si="0"/>
        <v>0.18181818181818182</v>
      </c>
      <c r="E48" s="147">
        <v>0</v>
      </c>
      <c r="F48" s="147">
        <v>0</v>
      </c>
      <c r="G48" s="141">
        <f t="shared" si="1"/>
        <v>0</v>
      </c>
      <c r="H48" s="147">
        <v>0</v>
      </c>
      <c r="I48" s="147">
        <v>0</v>
      </c>
      <c r="J48" s="141">
        <f t="shared" si="2"/>
        <v>0</v>
      </c>
      <c r="K48" s="147">
        <v>42.5</v>
      </c>
      <c r="L48" s="147">
        <v>12.75</v>
      </c>
      <c r="M48" s="141">
        <f t="shared" si="3"/>
        <v>0.6666666666666666</v>
      </c>
      <c r="N48" s="147">
        <v>0</v>
      </c>
      <c r="O48" s="147">
        <v>0</v>
      </c>
      <c r="P48" s="141">
        <f t="shared" si="4"/>
        <v>0</v>
      </c>
      <c r="Q48" s="147">
        <v>0</v>
      </c>
      <c r="R48" s="147">
        <v>0</v>
      </c>
      <c r="S48" s="141">
        <f t="shared" si="5"/>
        <v>0</v>
      </c>
      <c r="T48" s="147">
        <v>0</v>
      </c>
      <c r="U48" s="147">
        <v>0</v>
      </c>
      <c r="V48" s="141">
        <f t="shared" si="6"/>
        <v>0</v>
      </c>
      <c r="W48" s="147">
        <v>0</v>
      </c>
      <c r="X48" s="147">
        <v>0</v>
      </c>
      <c r="Y48" s="141">
        <f t="shared" si="7"/>
        <v>0</v>
      </c>
      <c r="Z48" s="147">
        <v>0</v>
      </c>
      <c r="AA48" s="147">
        <v>0</v>
      </c>
      <c r="AB48" s="141">
        <f t="shared" si="8"/>
        <v>0</v>
      </c>
      <c r="AC48" s="142">
        <v>50.5</v>
      </c>
      <c r="AD48" s="143">
        <v>13.15</v>
      </c>
      <c r="AE48" s="444">
        <f t="shared" si="9"/>
        <v>0.11954545454545455</v>
      </c>
      <c r="AF48" s="526">
        <f t="shared" si="10"/>
        <v>0.0057142857142857195</v>
      </c>
      <c r="AG48" s="526"/>
      <c r="AH48" s="526"/>
      <c r="AI48" s="532">
        <f t="shared" si="11"/>
        <v>0.0057142857142857195</v>
      </c>
    </row>
    <row r="49" spans="1:35" ht="12.75">
      <c r="A49" s="202">
        <v>59</v>
      </c>
      <c r="B49" s="140">
        <v>0</v>
      </c>
      <c r="C49" s="140">
        <v>0</v>
      </c>
      <c r="D49" s="141">
        <f t="shared" si="0"/>
        <v>0</v>
      </c>
      <c r="E49" s="140">
        <v>10</v>
      </c>
      <c r="F49" s="140">
        <v>0.25</v>
      </c>
      <c r="G49" s="141">
        <f t="shared" si="1"/>
        <v>0.308641975308642</v>
      </c>
      <c r="H49" s="140">
        <v>0</v>
      </c>
      <c r="I49" s="140">
        <v>0</v>
      </c>
      <c r="J49" s="141">
        <f t="shared" si="2"/>
        <v>0</v>
      </c>
      <c r="K49" s="140">
        <v>0</v>
      </c>
      <c r="L49" s="140">
        <v>0</v>
      </c>
      <c r="M49" s="141">
        <f t="shared" si="3"/>
        <v>0</v>
      </c>
      <c r="N49" s="140">
        <v>0</v>
      </c>
      <c r="O49" s="140">
        <v>0</v>
      </c>
      <c r="P49" s="141">
        <f t="shared" si="4"/>
        <v>0</v>
      </c>
      <c r="Q49" s="140">
        <v>0</v>
      </c>
      <c r="R49" s="140">
        <v>0</v>
      </c>
      <c r="S49" s="141">
        <f t="shared" si="5"/>
        <v>0</v>
      </c>
      <c r="T49" s="140">
        <v>0</v>
      </c>
      <c r="U49" s="140">
        <v>0</v>
      </c>
      <c r="V49" s="141">
        <f t="shared" si="6"/>
        <v>0</v>
      </c>
      <c r="W49" s="140">
        <v>0</v>
      </c>
      <c r="X49" s="140">
        <v>0</v>
      </c>
      <c r="Y49" s="141">
        <f t="shared" si="7"/>
        <v>0</v>
      </c>
      <c r="Z49" s="140">
        <v>50</v>
      </c>
      <c r="AA49" s="140">
        <v>5</v>
      </c>
      <c r="AB49" s="141">
        <f t="shared" si="8"/>
        <v>0.8620689655172413</v>
      </c>
      <c r="AC49" s="142">
        <v>60</v>
      </c>
      <c r="AD49" s="143">
        <v>5.25</v>
      </c>
      <c r="AE49" s="444">
        <f t="shared" si="9"/>
        <v>0.04772727272727273</v>
      </c>
      <c r="AF49" s="526"/>
      <c r="AG49" s="526">
        <f>(AD49-(R49+U49+X49))/60</f>
        <v>0.0875</v>
      </c>
      <c r="AH49" s="526"/>
      <c r="AI49" s="532">
        <f t="shared" si="11"/>
        <v>0.0875</v>
      </c>
    </row>
    <row r="50" spans="1:35" ht="12.75">
      <c r="A50" s="164">
        <v>61</v>
      </c>
      <c r="B50" s="140">
        <v>1.5</v>
      </c>
      <c r="C50" s="140">
        <v>0.075</v>
      </c>
      <c r="D50" s="141">
        <f t="shared" si="0"/>
        <v>0.03409090909090909</v>
      </c>
      <c r="E50" s="140">
        <v>0</v>
      </c>
      <c r="F50" s="140">
        <v>0</v>
      </c>
      <c r="G50" s="141">
        <f t="shared" si="1"/>
        <v>0</v>
      </c>
      <c r="H50" s="140">
        <v>0</v>
      </c>
      <c r="I50" s="140">
        <v>0</v>
      </c>
      <c r="J50" s="141">
        <f t="shared" si="2"/>
        <v>0</v>
      </c>
      <c r="K50" s="140">
        <v>21.25</v>
      </c>
      <c r="L50" s="140">
        <v>6.375</v>
      </c>
      <c r="M50" s="141">
        <f t="shared" si="3"/>
        <v>0.3333333333333333</v>
      </c>
      <c r="N50" s="140">
        <v>0</v>
      </c>
      <c r="O50" s="140">
        <v>0</v>
      </c>
      <c r="P50" s="141">
        <f t="shared" si="4"/>
        <v>0</v>
      </c>
      <c r="Q50" s="140">
        <v>0</v>
      </c>
      <c r="R50" s="140">
        <v>0</v>
      </c>
      <c r="S50" s="141">
        <f t="shared" si="5"/>
        <v>0</v>
      </c>
      <c r="T50" s="140">
        <v>0</v>
      </c>
      <c r="U50" s="140">
        <v>0</v>
      </c>
      <c r="V50" s="141">
        <f t="shared" si="6"/>
        <v>0</v>
      </c>
      <c r="W50" s="140">
        <v>0</v>
      </c>
      <c r="X50" s="140">
        <v>0</v>
      </c>
      <c r="Y50" s="141">
        <f t="shared" si="7"/>
        <v>0</v>
      </c>
      <c r="Z50" s="140">
        <v>0</v>
      </c>
      <c r="AA50" s="140">
        <v>0</v>
      </c>
      <c r="AB50" s="141">
        <f t="shared" si="8"/>
        <v>0</v>
      </c>
      <c r="AC50" s="142">
        <v>22.75</v>
      </c>
      <c r="AD50" s="143">
        <v>6.45</v>
      </c>
      <c r="AE50" s="444">
        <f t="shared" si="9"/>
        <v>0.05863636363636364</v>
      </c>
      <c r="AF50" s="526">
        <f t="shared" si="10"/>
        <v>0.0010714285714285739</v>
      </c>
      <c r="AG50" s="526"/>
      <c r="AH50" s="526"/>
      <c r="AI50" s="532">
        <f t="shared" si="11"/>
        <v>0.0010714285714285739</v>
      </c>
    </row>
    <row r="51" spans="1:35" ht="12.75">
      <c r="A51" s="185" t="s">
        <v>802</v>
      </c>
      <c r="B51" s="140">
        <v>11</v>
      </c>
      <c r="C51" s="140">
        <v>0.55</v>
      </c>
      <c r="D51" s="141">
        <f t="shared" si="0"/>
        <v>0.25</v>
      </c>
      <c r="E51" s="140">
        <v>5</v>
      </c>
      <c r="F51" s="140">
        <v>0.125</v>
      </c>
      <c r="G51" s="141">
        <f t="shared" si="1"/>
        <v>0.154320987654321</v>
      </c>
      <c r="H51" s="140">
        <v>0</v>
      </c>
      <c r="I51" s="140">
        <v>0</v>
      </c>
      <c r="J51" s="141">
        <f t="shared" si="2"/>
        <v>0</v>
      </c>
      <c r="K51" s="140">
        <v>30</v>
      </c>
      <c r="L51" s="140">
        <v>9</v>
      </c>
      <c r="M51" s="141">
        <f t="shared" si="3"/>
        <v>0.47058823529411764</v>
      </c>
      <c r="N51" s="140">
        <v>0</v>
      </c>
      <c r="O51" s="140">
        <v>0</v>
      </c>
      <c r="P51" s="141">
        <f t="shared" si="4"/>
        <v>0</v>
      </c>
      <c r="Q51" s="140">
        <v>0</v>
      </c>
      <c r="R51" s="140">
        <v>0</v>
      </c>
      <c r="S51" s="141">
        <f t="shared" si="5"/>
        <v>0</v>
      </c>
      <c r="T51" s="140">
        <v>0</v>
      </c>
      <c r="U51" s="140">
        <v>0</v>
      </c>
      <c r="V51" s="141">
        <f t="shared" si="6"/>
        <v>0</v>
      </c>
      <c r="W51" s="140">
        <v>0</v>
      </c>
      <c r="X51" s="140">
        <v>0</v>
      </c>
      <c r="Y51" s="141">
        <f t="shared" si="7"/>
        <v>0</v>
      </c>
      <c r="Z51" s="140">
        <v>0</v>
      </c>
      <c r="AA51" s="140">
        <v>0</v>
      </c>
      <c r="AB51" s="141">
        <f t="shared" si="8"/>
        <v>0</v>
      </c>
      <c r="AC51" s="142">
        <v>46</v>
      </c>
      <c r="AD51" s="143">
        <v>9.675</v>
      </c>
      <c r="AE51" s="444">
        <f t="shared" si="9"/>
        <v>0.08795454545454547</v>
      </c>
      <c r="AF51" s="526">
        <f t="shared" si="10"/>
        <v>0.009642857142857153</v>
      </c>
      <c r="AG51" s="526"/>
      <c r="AH51" s="526"/>
      <c r="AI51" s="532">
        <f t="shared" si="11"/>
        <v>0.009642857142857153</v>
      </c>
    </row>
    <row r="52" spans="1:35" ht="12.75">
      <c r="A52" s="185" t="s">
        <v>803</v>
      </c>
      <c r="B52" s="145">
        <v>11</v>
      </c>
      <c r="C52" s="145">
        <v>0.55</v>
      </c>
      <c r="D52" s="141">
        <f t="shared" si="0"/>
        <v>0.25</v>
      </c>
      <c r="E52" s="145">
        <v>5</v>
      </c>
      <c r="F52" s="145">
        <v>0.125</v>
      </c>
      <c r="G52" s="141">
        <f t="shared" si="1"/>
        <v>0.154320987654321</v>
      </c>
      <c r="H52" s="145">
        <v>0</v>
      </c>
      <c r="I52" s="145">
        <v>0</v>
      </c>
      <c r="J52" s="141">
        <f t="shared" si="2"/>
        <v>0</v>
      </c>
      <c r="K52" s="145">
        <v>30</v>
      </c>
      <c r="L52" s="145">
        <v>9</v>
      </c>
      <c r="M52" s="141">
        <f t="shared" si="3"/>
        <v>0.47058823529411764</v>
      </c>
      <c r="N52" s="145">
        <v>0</v>
      </c>
      <c r="O52" s="145">
        <v>0</v>
      </c>
      <c r="P52" s="141">
        <f t="shared" si="4"/>
        <v>0</v>
      </c>
      <c r="Q52" s="145">
        <v>0</v>
      </c>
      <c r="R52" s="145">
        <v>0</v>
      </c>
      <c r="S52" s="141">
        <f t="shared" si="5"/>
        <v>0</v>
      </c>
      <c r="T52" s="145">
        <v>0</v>
      </c>
      <c r="U52" s="145">
        <v>0</v>
      </c>
      <c r="V52" s="141">
        <f t="shared" si="6"/>
        <v>0</v>
      </c>
      <c r="W52" s="145">
        <v>0</v>
      </c>
      <c r="X52" s="145">
        <v>0</v>
      </c>
      <c r="Y52" s="141">
        <f t="shared" si="7"/>
        <v>0</v>
      </c>
      <c r="Z52" s="145">
        <v>0</v>
      </c>
      <c r="AA52" s="145">
        <v>0</v>
      </c>
      <c r="AB52" s="141">
        <f t="shared" si="8"/>
        <v>0</v>
      </c>
      <c r="AC52" s="142">
        <v>46</v>
      </c>
      <c r="AD52" s="143">
        <v>9.675</v>
      </c>
      <c r="AE52" s="444">
        <f t="shared" si="9"/>
        <v>0.08795454545454547</v>
      </c>
      <c r="AF52" s="526">
        <f t="shared" si="10"/>
        <v>0.009642857142857153</v>
      </c>
      <c r="AG52" s="526"/>
      <c r="AH52" s="526"/>
      <c r="AI52" s="532">
        <f t="shared" si="11"/>
        <v>0.009642857142857153</v>
      </c>
    </row>
    <row r="53" spans="1:35" ht="12.75">
      <c r="A53" s="164">
        <v>64</v>
      </c>
      <c r="B53" s="140">
        <v>3</v>
      </c>
      <c r="C53" s="140">
        <v>0.15</v>
      </c>
      <c r="D53" s="141">
        <f t="shared" si="0"/>
        <v>0.06818181818181818</v>
      </c>
      <c r="E53" s="140">
        <v>0</v>
      </c>
      <c r="F53" s="140">
        <v>0</v>
      </c>
      <c r="G53" s="141">
        <f t="shared" si="1"/>
        <v>0</v>
      </c>
      <c r="H53" s="140">
        <v>0</v>
      </c>
      <c r="I53" s="140">
        <v>0</v>
      </c>
      <c r="J53" s="141">
        <f t="shared" si="2"/>
        <v>0</v>
      </c>
      <c r="K53" s="140">
        <v>42.5</v>
      </c>
      <c r="L53" s="140">
        <v>12.75</v>
      </c>
      <c r="M53" s="141">
        <f t="shared" si="3"/>
        <v>0.6666666666666666</v>
      </c>
      <c r="N53" s="140">
        <v>0</v>
      </c>
      <c r="O53" s="140">
        <v>0</v>
      </c>
      <c r="P53" s="141">
        <f t="shared" si="4"/>
        <v>0</v>
      </c>
      <c r="Q53" s="140">
        <v>0</v>
      </c>
      <c r="R53" s="140">
        <v>0</v>
      </c>
      <c r="S53" s="141">
        <f t="shared" si="5"/>
        <v>0</v>
      </c>
      <c r="T53" s="140">
        <v>0</v>
      </c>
      <c r="U53" s="140">
        <v>0</v>
      </c>
      <c r="V53" s="141">
        <f t="shared" si="6"/>
        <v>0</v>
      </c>
      <c r="W53" s="140">
        <v>0</v>
      </c>
      <c r="X53" s="140">
        <v>0</v>
      </c>
      <c r="Y53" s="141">
        <f t="shared" si="7"/>
        <v>0</v>
      </c>
      <c r="Z53" s="140">
        <v>0</v>
      </c>
      <c r="AA53" s="140">
        <v>0</v>
      </c>
      <c r="AB53" s="141">
        <f t="shared" si="8"/>
        <v>0</v>
      </c>
      <c r="AC53" s="142">
        <v>45.5</v>
      </c>
      <c r="AD53" s="143">
        <v>12.9</v>
      </c>
      <c r="AE53" s="444">
        <f t="shared" si="9"/>
        <v>0.11727272727272728</v>
      </c>
      <c r="AF53" s="526">
        <f t="shared" si="10"/>
        <v>0.0021428571428571477</v>
      </c>
      <c r="AG53" s="526"/>
      <c r="AH53" s="526"/>
      <c r="AI53" s="532">
        <f t="shared" si="11"/>
        <v>0.0021428571428571477</v>
      </c>
    </row>
    <row r="54" spans="1:35" ht="12.75">
      <c r="A54" s="164">
        <v>66</v>
      </c>
      <c r="B54" s="151">
        <v>13</v>
      </c>
      <c r="C54" s="151">
        <v>0.65</v>
      </c>
      <c r="D54" s="141">
        <f t="shared" si="0"/>
        <v>0.29545454545454547</v>
      </c>
      <c r="E54" s="151">
        <v>0</v>
      </c>
      <c r="F54" s="151">
        <v>0</v>
      </c>
      <c r="G54" s="141">
        <f t="shared" si="1"/>
        <v>0</v>
      </c>
      <c r="H54" s="151">
        <v>0</v>
      </c>
      <c r="I54" s="151">
        <v>0</v>
      </c>
      <c r="J54" s="141">
        <f t="shared" si="2"/>
        <v>0</v>
      </c>
      <c r="K54" s="151">
        <v>0</v>
      </c>
      <c r="L54" s="151">
        <v>0</v>
      </c>
      <c r="M54" s="141">
        <f t="shared" si="3"/>
        <v>0</v>
      </c>
      <c r="N54" s="151">
        <v>0</v>
      </c>
      <c r="O54" s="151">
        <v>0</v>
      </c>
      <c r="P54" s="141">
        <f t="shared" si="4"/>
        <v>0</v>
      </c>
      <c r="Q54" s="151">
        <v>0</v>
      </c>
      <c r="R54" s="151">
        <v>0</v>
      </c>
      <c r="S54" s="141">
        <f t="shared" si="5"/>
        <v>0</v>
      </c>
      <c r="T54" s="151">
        <v>0</v>
      </c>
      <c r="U54" s="151">
        <v>0</v>
      </c>
      <c r="V54" s="141">
        <f t="shared" si="6"/>
        <v>0</v>
      </c>
      <c r="W54" s="151">
        <v>0</v>
      </c>
      <c r="X54" s="151">
        <v>0</v>
      </c>
      <c r="Y54" s="141">
        <f t="shared" si="7"/>
        <v>0</v>
      </c>
      <c r="Z54" s="151">
        <v>0</v>
      </c>
      <c r="AA54" s="151">
        <v>0</v>
      </c>
      <c r="AB54" s="141">
        <f t="shared" si="8"/>
        <v>0</v>
      </c>
      <c r="AC54" s="142">
        <v>13</v>
      </c>
      <c r="AD54" s="143">
        <v>0.65</v>
      </c>
      <c r="AE54" s="444">
        <f t="shared" si="9"/>
        <v>0.005909090909090909</v>
      </c>
      <c r="AF54" s="526">
        <f t="shared" si="10"/>
        <v>0.009285714285714286</v>
      </c>
      <c r="AG54" s="526"/>
      <c r="AH54" s="526"/>
      <c r="AI54" s="532">
        <f t="shared" si="11"/>
        <v>0.009285714285714286</v>
      </c>
    </row>
    <row r="55" spans="1:35" ht="12.75">
      <c r="A55" s="164">
        <v>69</v>
      </c>
      <c r="B55" s="151">
        <v>3</v>
      </c>
      <c r="C55" s="151">
        <v>0.15</v>
      </c>
      <c r="D55" s="141">
        <f t="shared" si="0"/>
        <v>0.06818181818181818</v>
      </c>
      <c r="E55" s="151">
        <v>17.5</v>
      </c>
      <c r="F55" s="151">
        <v>0.4375</v>
      </c>
      <c r="G55" s="141">
        <f t="shared" si="1"/>
        <v>0.5401234567901235</v>
      </c>
      <c r="H55" s="151">
        <v>0</v>
      </c>
      <c r="I55" s="151">
        <v>0</v>
      </c>
      <c r="J55" s="141">
        <f t="shared" si="2"/>
        <v>0</v>
      </c>
      <c r="K55" s="151">
        <v>42.5</v>
      </c>
      <c r="L55" s="151">
        <v>12.75</v>
      </c>
      <c r="M55" s="141">
        <f t="shared" si="3"/>
        <v>0.6666666666666666</v>
      </c>
      <c r="N55" s="151">
        <v>0</v>
      </c>
      <c r="O55" s="151">
        <v>0</v>
      </c>
      <c r="P55" s="141">
        <f t="shared" si="4"/>
        <v>0</v>
      </c>
      <c r="Q55" s="151">
        <v>0</v>
      </c>
      <c r="R55" s="151">
        <v>0</v>
      </c>
      <c r="S55" s="141">
        <f t="shared" si="5"/>
        <v>0</v>
      </c>
      <c r="T55" s="151">
        <v>0</v>
      </c>
      <c r="U55" s="151">
        <v>0</v>
      </c>
      <c r="V55" s="141">
        <f t="shared" si="6"/>
        <v>0</v>
      </c>
      <c r="W55" s="151">
        <v>0</v>
      </c>
      <c r="X55" s="151">
        <v>0</v>
      </c>
      <c r="Y55" s="141">
        <f t="shared" si="7"/>
        <v>0</v>
      </c>
      <c r="Z55" s="151">
        <v>0</v>
      </c>
      <c r="AA55" s="151">
        <v>0</v>
      </c>
      <c r="AB55" s="141">
        <f t="shared" si="8"/>
        <v>0</v>
      </c>
      <c r="AC55" s="142">
        <v>63</v>
      </c>
      <c r="AD55" s="143">
        <v>13.3375</v>
      </c>
      <c r="AE55" s="444">
        <f t="shared" si="9"/>
        <v>0.12125</v>
      </c>
      <c r="AF55" s="526">
        <f t="shared" si="10"/>
        <v>0.008392857142857148</v>
      </c>
      <c r="AG55" s="526"/>
      <c r="AH55" s="526"/>
      <c r="AI55" s="532">
        <f t="shared" si="11"/>
        <v>0.008392857142857148</v>
      </c>
    </row>
    <row r="56" spans="1:35" ht="12.75">
      <c r="A56" s="164" t="s">
        <v>804</v>
      </c>
      <c r="B56" s="145">
        <v>3</v>
      </c>
      <c r="C56" s="145">
        <v>0.15</v>
      </c>
      <c r="D56" s="141">
        <f t="shared" si="0"/>
        <v>0.06818181818181818</v>
      </c>
      <c r="E56" s="145">
        <v>8.6</v>
      </c>
      <c r="F56" s="145">
        <v>0.215</v>
      </c>
      <c r="G56" s="141">
        <f t="shared" si="1"/>
        <v>0.2654320987654321</v>
      </c>
      <c r="H56" s="145">
        <v>0</v>
      </c>
      <c r="I56" s="145">
        <v>0</v>
      </c>
      <c r="J56" s="141">
        <f t="shared" si="2"/>
        <v>0</v>
      </c>
      <c r="K56" s="145">
        <v>42.5</v>
      </c>
      <c r="L56" s="145">
        <v>12.75</v>
      </c>
      <c r="M56" s="141">
        <f t="shared" si="3"/>
        <v>0.6666666666666666</v>
      </c>
      <c r="N56" s="145">
        <v>0</v>
      </c>
      <c r="O56" s="145">
        <v>0</v>
      </c>
      <c r="P56" s="141">
        <f t="shared" si="4"/>
        <v>0</v>
      </c>
      <c r="Q56" s="145">
        <v>0</v>
      </c>
      <c r="R56" s="145">
        <v>0</v>
      </c>
      <c r="S56" s="141">
        <f t="shared" si="5"/>
        <v>0</v>
      </c>
      <c r="T56" s="145">
        <v>0</v>
      </c>
      <c r="U56" s="145">
        <v>0</v>
      </c>
      <c r="V56" s="141">
        <f t="shared" si="6"/>
        <v>0</v>
      </c>
      <c r="W56" s="145">
        <v>0</v>
      </c>
      <c r="X56" s="145">
        <v>0</v>
      </c>
      <c r="Y56" s="141">
        <f t="shared" si="7"/>
        <v>0</v>
      </c>
      <c r="Z56" s="145">
        <v>1</v>
      </c>
      <c r="AA56" s="145">
        <v>0.1</v>
      </c>
      <c r="AB56" s="141">
        <f t="shared" si="8"/>
        <v>0.017241379310344827</v>
      </c>
      <c r="AC56" s="142">
        <v>55.1</v>
      </c>
      <c r="AD56" s="143">
        <v>13.215</v>
      </c>
      <c r="AE56" s="444">
        <f t="shared" si="9"/>
        <v>0.12013636363636364</v>
      </c>
      <c r="AF56" s="526">
        <f t="shared" si="10"/>
        <v>0.0066428571428571405</v>
      </c>
      <c r="AG56" s="526"/>
      <c r="AH56" s="526"/>
      <c r="AI56" s="532">
        <f t="shared" si="11"/>
        <v>0.0066428571428571405</v>
      </c>
    </row>
    <row r="57" spans="1:35" ht="12.75">
      <c r="A57" s="185" t="s">
        <v>805</v>
      </c>
      <c r="B57" s="151">
        <v>0.375</v>
      </c>
      <c r="C57" s="151">
        <v>0.01875</v>
      </c>
      <c r="D57" s="141">
        <f t="shared" si="0"/>
        <v>0.008522727272727272</v>
      </c>
      <c r="E57" s="151">
        <v>8.6</v>
      </c>
      <c r="F57" s="151">
        <v>0.215</v>
      </c>
      <c r="G57" s="141">
        <f t="shared" si="1"/>
        <v>0.2654320987654321</v>
      </c>
      <c r="H57" s="151">
        <v>0</v>
      </c>
      <c r="I57" s="151">
        <v>0</v>
      </c>
      <c r="J57" s="141">
        <f t="shared" si="2"/>
        <v>0</v>
      </c>
      <c r="K57" s="151">
        <v>0</v>
      </c>
      <c r="L57" s="151">
        <v>0</v>
      </c>
      <c r="M57" s="141">
        <f t="shared" si="3"/>
        <v>0</v>
      </c>
      <c r="N57" s="151">
        <v>0</v>
      </c>
      <c r="O57" s="151">
        <v>0</v>
      </c>
      <c r="P57" s="141">
        <f t="shared" si="4"/>
        <v>0</v>
      </c>
      <c r="Q57" s="151">
        <v>0</v>
      </c>
      <c r="R57" s="151">
        <v>0</v>
      </c>
      <c r="S57" s="141">
        <f t="shared" si="5"/>
        <v>0</v>
      </c>
      <c r="T57" s="151">
        <v>0</v>
      </c>
      <c r="U57" s="151">
        <v>0</v>
      </c>
      <c r="V57" s="141">
        <f t="shared" si="6"/>
        <v>0</v>
      </c>
      <c r="W57" s="151">
        <v>0</v>
      </c>
      <c r="X57" s="151">
        <v>0</v>
      </c>
      <c r="Y57" s="141">
        <f t="shared" si="7"/>
        <v>0</v>
      </c>
      <c r="Z57" s="151">
        <v>1</v>
      </c>
      <c r="AA57" s="151">
        <v>0.1</v>
      </c>
      <c r="AB57" s="141">
        <f t="shared" si="8"/>
        <v>0.017241379310344827</v>
      </c>
      <c r="AC57" s="142">
        <v>9.975</v>
      </c>
      <c r="AD57" s="143">
        <v>0.33375</v>
      </c>
      <c r="AE57" s="444">
        <f t="shared" si="9"/>
        <v>0.003034090909090909</v>
      </c>
      <c r="AF57" s="526">
        <f t="shared" si="10"/>
        <v>0.004767857142857143</v>
      </c>
      <c r="AG57" s="526"/>
      <c r="AH57" s="526"/>
      <c r="AI57" s="532">
        <f t="shared" si="11"/>
        <v>0.004767857142857143</v>
      </c>
    </row>
    <row r="58" spans="1:35" ht="12.75">
      <c r="A58" s="202">
        <v>71</v>
      </c>
      <c r="B58" s="151">
        <v>3</v>
      </c>
      <c r="C58" s="151">
        <v>0.15</v>
      </c>
      <c r="D58" s="141">
        <f t="shared" si="0"/>
        <v>0.06818181818181818</v>
      </c>
      <c r="E58" s="151">
        <v>15.6</v>
      </c>
      <c r="F58" s="151">
        <v>0.39</v>
      </c>
      <c r="G58" s="141">
        <f t="shared" si="1"/>
        <v>0.4814814814814815</v>
      </c>
      <c r="H58" s="151">
        <v>0</v>
      </c>
      <c r="I58" s="151">
        <v>0</v>
      </c>
      <c r="J58" s="141">
        <f t="shared" si="2"/>
        <v>0</v>
      </c>
      <c r="K58" s="151">
        <v>0</v>
      </c>
      <c r="L58" s="151">
        <v>0</v>
      </c>
      <c r="M58" s="141">
        <f t="shared" si="3"/>
        <v>0</v>
      </c>
      <c r="N58" s="151">
        <v>0</v>
      </c>
      <c r="O58" s="151">
        <v>0</v>
      </c>
      <c r="P58" s="141">
        <f t="shared" si="4"/>
        <v>0</v>
      </c>
      <c r="Q58" s="151">
        <v>18</v>
      </c>
      <c r="R58" s="151">
        <v>5.4</v>
      </c>
      <c r="S58" s="141">
        <f t="shared" si="5"/>
        <v>0.0962566844919786</v>
      </c>
      <c r="T58" s="151">
        <v>0</v>
      </c>
      <c r="U58" s="151">
        <v>0</v>
      </c>
      <c r="V58" s="141">
        <f t="shared" si="6"/>
        <v>0</v>
      </c>
      <c r="W58" s="151">
        <v>0</v>
      </c>
      <c r="X58" s="151">
        <v>0</v>
      </c>
      <c r="Y58" s="141">
        <f t="shared" si="7"/>
        <v>0</v>
      </c>
      <c r="Z58" s="151">
        <v>0</v>
      </c>
      <c r="AA58" s="151">
        <v>0</v>
      </c>
      <c r="AB58" s="141">
        <f t="shared" si="8"/>
        <v>0</v>
      </c>
      <c r="AC58" s="142">
        <v>36.6</v>
      </c>
      <c r="AD58" s="143">
        <v>5.94</v>
      </c>
      <c r="AE58" s="444">
        <f t="shared" si="9"/>
        <v>0.054000000000000006</v>
      </c>
      <c r="AF58" s="526"/>
      <c r="AG58" s="526">
        <f>(AD58-(R58+U58+X58))/60</f>
        <v>0.009000000000000001</v>
      </c>
      <c r="AH58" s="526"/>
      <c r="AI58" s="532">
        <f t="shared" si="11"/>
        <v>0.009000000000000001</v>
      </c>
    </row>
    <row r="59" spans="1:35" ht="12.75">
      <c r="A59" s="164">
        <v>72</v>
      </c>
      <c r="B59" s="151">
        <v>3</v>
      </c>
      <c r="C59" s="151">
        <v>0.15</v>
      </c>
      <c r="D59" s="141">
        <f t="shared" si="0"/>
        <v>0.06818181818181818</v>
      </c>
      <c r="E59" s="151">
        <v>9.5</v>
      </c>
      <c r="F59" s="151">
        <v>0.2375</v>
      </c>
      <c r="G59" s="141">
        <f t="shared" si="1"/>
        <v>0.2932098765432099</v>
      </c>
      <c r="H59" s="151">
        <v>0</v>
      </c>
      <c r="I59" s="151">
        <v>0</v>
      </c>
      <c r="J59" s="141">
        <f t="shared" si="2"/>
        <v>0</v>
      </c>
      <c r="K59" s="151">
        <v>42.5</v>
      </c>
      <c r="L59" s="151">
        <v>12.75</v>
      </c>
      <c r="M59" s="141">
        <f t="shared" si="3"/>
        <v>0.6666666666666666</v>
      </c>
      <c r="N59" s="151">
        <v>0</v>
      </c>
      <c r="O59" s="151">
        <v>0</v>
      </c>
      <c r="P59" s="141">
        <f t="shared" si="4"/>
        <v>0</v>
      </c>
      <c r="Q59" s="151">
        <v>90</v>
      </c>
      <c r="R59" s="151">
        <v>27</v>
      </c>
      <c r="S59" s="141">
        <f t="shared" si="5"/>
        <v>0.48128342245989303</v>
      </c>
      <c r="T59" s="151">
        <v>0</v>
      </c>
      <c r="U59" s="151">
        <v>0</v>
      </c>
      <c r="V59" s="141">
        <f t="shared" si="6"/>
        <v>0</v>
      </c>
      <c r="W59" s="151">
        <v>0</v>
      </c>
      <c r="X59" s="151">
        <v>0</v>
      </c>
      <c r="Y59" s="141">
        <f t="shared" si="7"/>
        <v>0</v>
      </c>
      <c r="Z59" s="151">
        <v>0</v>
      </c>
      <c r="AA59" s="151">
        <v>0</v>
      </c>
      <c r="AB59" s="141">
        <f t="shared" si="8"/>
        <v>0</v>
      </c>
      <c r="AC59" s="142">
        <v>145</v>
      </c>
      <c r="AD59" s="143">
        <v>40.1375</v>
      </c>
      <c r="AE59" s="444">
        <f t="shared" si="9"/>
        <v>0.3648863636363637</v>
      </c>
      <c r="AF59" s="526">
        <f t="shared" si="10"/>
        <v>0.39125000000000004</v>
      </c>
      <c r="AG59" s="526"/>
      <c r="AH59" s="526"/>
      <c r="AI59" s="532">
        <f t="shared" si="11"/>
        <v>0.39125000000000004</v>
      </c>
    </row>
    <row r="60" spans="1:35" ht="12.75">
      <c r="A60" s="164">
        <v>73</v>
      </c>
      <c r="B60" s="151">
        <v>3</v>
      </c>
      <c r="C60" s="151">
        <v>0.15</v>
      </c>
      <c r="D60" s="141">
        <f t="shared" si="0"/>
        <v>0.06818181818181818</v>
      </c>
      <c r="E60" s="151">
        <v>0</v>
      </c>
      <c r="F60" s="151">
        <v>0</v>
      </c>
      <c r="G60" s="141">
        <f t="shared" si="1"/>
        <v>0</v>
      </c>
      <c r="H60" s="151">
        <v>0</v>
      </c>
      <c r="I60" s="151">
        <v>0</v>
      </c>
      <c r="J60" s="141">
        <f t="shared" si="2"/>
        <v>0</v>
      </c>
      <c r="K60" s="151">
        <v>42.5</v>
      </c>
      <c r="L60" s="151">
        <v>12.75</v>
      </c>
      <c r="M60" s="141">
        <f t="shared" si="3"/>
        <v>0.6666666666666666</v>
      </c>
      <c r="N60" s="151">
        <v>0</v>
      </c>
      <c r="O60" s="151">
        <v>0</v>
      </c>
      <c r="P60" s="141">
        <f t="shared" si="4"/>
        <v>0</v>
      </c>
      <c r="Q60" s="151">
        <v>0</v>
      </c>
      <c r="R60" s="151">
        <v>0</v>
      </c>
      <c r="S60" s="141">
        <f t="shared" si="5"/>
        <v>0</v>
      </c>
      <c r="T60" s="151">
        <v>0</v>
      </c>
      <c r="U60" s="151">
        <v>0</v>
      </c>
      <c r="V60" s="141">
        <f t="shared" si="6"/>
        <v>0</v>
      </c>
      <c r="W60" s="151">
        <v>0</v>
      </c>
      <c r="X60" s="151">
        <v>0</v>
      </c>
      <c r="Y60" s="141">
        <f t="shared" si="7"/>
        <v>0</v>
      </c>
      <c r="Z60" s="151">
        <v>0</v>
      </c>
      <c r="AA60" s="151">
        <v>0</v>
      </c>
      <c r="AB60" s="141">
        <f t="shared" si="8"/>
        <v>0</v>
      </c>
      <c r="AC60" s="142">
        <v>45.5</v>
      </c>
      <c r="AD60" s="143">
        <v>12.9</v>
      </c>
      <c r="AE60" s="444">
        <f t="shared" si="9"/>
        <v>0.11727272727272728</v>
      </c>
      <c r="AF60" s="526">
        <f t="shared" si="10"/>
        <v>0.0021428571428571477</v>
      </c>
      <c r="AG60" s="526"/>
      <c r="AH60" s="526"/>
      <c r="AI60" s="532">
        <f t="shared" si="11"/>
        <v>0.0021428571428571477</v>
      </c>
    </row>
    <row r="61" spans="1:35" ht="12.75">
      <c r="A61" s="202">
        <v>74</v>
      </c>
      <c r="B61" s="147">
        <v>0</v>
      </c>
      <c r="C61" s="147">
        <v>0</v>
      </c>
      <c r="D61" s="141">
        <f t="shared" si="0"/>
        <v>0</v>
      </c>
      <c r="E61" s="147">
        <v>2.5</v>
      </c>
      <c r="F61" s="147">
        <v>0.0625</v>
      </c>
      <c r="G61" s="141">
        <f t="shared" si="1"/>
        <v>0.0771604938271605</v>
      </c>
      <c r="H61" s="147">
        <v>20</v>
      </c>
      <c r="I61" s="147">
        <v>0.5</v>
      </c>
      <c r="J61" s="141">
        <f t="shared" si="2"/>
        <v>0.45454545454545453</v>
      </c>
      <c r="K61" s="147">
        <v>0</v>
      </c>
      <c r="L61" s="147">
        <v>0</v>
      </c>
      <c r="M61" s="141">
        <f t="shared" si="3"/>
        <v>0</v>
      </c>
      <c r="N61" s="147">
        <v>0</v>
      </c>
      <c r="O61" s="147">
        <v>0</v>
      </c>
      <c r="P61" s="141">
        <f t="shared" si="4"/>
        <v>0</v>
      </c>
      <c r="Q61" s="147">
        <v>0</v>
      </c>
      <c r="R61" s="147">
        <v>0</v>
      </c>
      <c r="S61" s="141">
        <f t="shared" si="5"/>
        <v>0</v>
      </c>
      <c r="T61" s="147">
        <v>0</v>
      </c>
      <c r="U61" s="147">
        <v>0</v>
      </c>
      <c r="V61" s="141">
        <f t="shared" si="6"/>
        <v>0</v>
      </c>
      <c r="W61" s="147">
        <v>0</v>
      </c>
      <c r="X61" s="147">
        <v>0</v>
      </c>
      <c r="Y61" s="141">
        <f t="shared" si="7"/>
        <v>0</v>
      </c>
      <c r="Z61" s="147">
        <v>0</v>
      </c>
      <c r="AA61" s="147">
        <v>0</v>
      </c>
      <c r="AB61" s="141">
        <f t="shared" si="8"/>
        <v>0</v>
      </c>
      <c r="AC61" s="142">
        <v>22.5</v>
      </c>
      <c r="AD61" s="143">
        <v>0.5625</v>
      </c>
      <c r="AE61" s="444">
        <f t="shared" si="9"/>
        <v>0.005113636363636364</v>
      </c>
      <c r="AF61" s="526"/>
      <c r="AG61" s="526">
        <f>(AD61-(R61+U61+X61))/60</f>
        <v>0.009375</v>
      </c>
      <c r="AH61" s="526"/>
      <c r="AI61" s="532">
        <f t="shared" si="11"/>
        <v>0.009375</v>
      </c>
    </row>
    <row r="62" spans="1:35" ht="12.75">
      <c r="A62" s="221">
        <v>76</v>
      </c>
      <c r="B62" s="151">
        <v>6</v>
      </c>
      <c r="C62" s="151">
        <v>0.3</v>
      </c>
      <c r="D62" s="141">
        <f t="shared" si="0"/>
        <v>0.13636363636363635</v>
      </c>
      <c r="E62" s="151">
        <v>20</v>
      </c>
      <c r="F62" s="151">
        <v>0.5</v>
      </c>
      <c r="G62" s="141">
        <f t="shared" si="1"/>
        <v>0.617283950617284</v>
      </c>
      <c r="H62" s="151">
        <v>10</v>
      </c>
      <c r="I62" s="151">
        <v>0.25</v>
      </c>
      <c r="J62" s="141">
        <f t="shared" si="2"/>
        <v>0.22727272727272727</v>
      </c>
      <c r="K62" s="151">
        <v>0</v>
      </c>
      <c r="L62" s="151">
        <v>0</v>
      </c>
      <c r="M62" s="141">
        <f t="shared" si="3"/>
        <v>0</v>
      </c>
      <c r="N62" s="151">
        <v>0</v>
      </c>
      <c r="O62" s="151">
        <v>0</v>
      </c>
      <c r="P62" s="141">
        <f t="shared" si="4"/>
        <v>0</v>
      </c>
      <c r="Q62" s="151">
        <v>0</v>
      </c>
      <c r="R62" s="151">
        <v>0</v>
      </c>
      <c r="S62" s="141">
        <f t="shared" si="5"/>
        <v>0</v>
      </c>
      <c r="T62" s="151">
        <v>0</v>
      </c>
      <c r="U62" s="151">
        <v>0</v>
      </c>
      <c r="V62" s="141">
        <f t="shared" si="6"/>
        <v>0</v>
      </c>
      <c r="W62" s="151">
        <v>0</v>
      </c>
      <c r="X62" s="151">
        <v>0</v>
      </c>
      <c r="Y62" s="141">
        <f t="shared" si="7"/>
        <v>0</v>
      </c>
      <c r="Z62" s="151">
        <v>58</v>
      </c>
      <c r="AA62" s="151">
        <v>5.8</v>
      </c>
      <c r="AB62" s="141">
        <f t="shared" si="8"/>
        <v>1</v>
      </c>
      <c r="AC62" s="142">
        <v>94</v>
      </c>
      <c r="AD62" s="143">
        <v>6.85</v>
      </c>
      <c r="AE62" s="444">
        <f t="shared" si="9"/>
        <v>0.06227272727272727</v>
      </c>
      <c r="AF62" s="526"/>
      <c r="AG62" s="526"/>
      <c r="AH62" s="526">
        <f>(AD62-AA62)/100</f>
        <v>0.010499999999999999</v>
      </c>
      <c r="AI62" s="532">
        <f t="shared" si="11"/>
        <v>0.010499999999999999</v>
      </c>
    </row>
    <row r="63" spans="1:35" ht="12.75">
      <c r="A63" s="164">
        <v>77</v>
      </c>
      <c r="B63" s="151">
        <v>8</v>
      </c>
      <c r="C63" s="151">
        <v>0.4</v>
      </c>
      <c r="D63" s="141">
        <f t="shared" si="0"/>
        <v>0.18181818181818182</v>
      </c>
      <c r="E63" s="151">
        <v>12.5</v>
      </c>
      <c r="F63" s="151">
        <v>0.3125</v>
      </c>
      <c r="G63" s="141">
        <f t="shared" si="1"/>
        <v>0.38580246913580246</v>
      </c>
      <c r="H63" s="151">
        <v>0</v>
      </c>
      <c r="I63" s="151">
        <v>0</v>
      </c>
      <c r="J63" s="141">
        <f t="shared" si="2"/>
        <v>0</v>
      </c>
      <c r="K63" s="151">
        <v>42.5</v>
      </c>
      <c r="L63" s="151">
        <v>12.75</v>
      </c>
      <c r="M63" s="141">
        <f t="shared" si="3"/>
        <v>0.6666666666666666</v>
      </c>
      <c r="N63" s="151">
        <v>0</v>
      </c>
      <c r="O63" s="151">
        <v>0</v>
      </c>
      <c r="P63" s="141">
        <f t="shared" si="4"/>
        <v>0</v>
      </c>
      <c r="Q63" s="151">
        <v>18</v>
      </c>
      <c r="R63" s="151">
        <v>5.4</v>
      </c>
      <c r="S63" s="141">
        <f t="shared" si="5"/>
        <v>0.0962566844919786</v>
      </c>
      <c r="T63" s="151">
        <v>0</v>
      </c>
      <c r="U63" s="151">
        <v>0</v>
      </c>
      <c r="V63" s="141">
        <f t="shared" si="6"/>
        <v>0</v>
      </c>
      <c r="W63" s="151">
        <v>0</v>
      </c>
      <c r="X63" s="151">
        <v>0</v>
      </c>
      <c r="Y63" s="141">
        <f t="shared" si="7"/>
        <v>0</v>
      </c>
      <c r="Z63" s="151">
        <v>0</v>
      </c>
      <c r="AA63" s="151">
        <v>0</v>
      </c>
      <c r="AB63" s="141">
        <f t="shared" si="8"/>
        <v>0</v>
      </c>
      <c r="AC63" s="142">
        <v>81</v>
      </c>
      <c r="AD63" s="143">
        <v>18.8625</v>
      </c>
      <c r="AE63" s="444">
        <f t="shared" si="9"/>
        <v>0.17147727272727273</v>
      </c>
      <c r="AF63" s="526">
        <f t="shared" si="10"/>
        <v>0.08732142857142858</v>
      </c>
      <c r="AG63" s="526"/>
      <c r="AH63" s="526"/>
      <c r="AI63" s="532">
        <f t="shared" si="11"/>
        <v>0.08732142857142858</v>
      </c>
    </row>
    <row r="64" spans="1:35" ht="12.75">
      <c r="A64" s="233">
        <v>78</v>
      </c>
      <c r="B64" s="151"/>
      <c r="C64" s="151"/>
      <c r="D64" s="141">
        <f t="shared" si="0"/>
        <v>0</v>
      </c>
      <c r="E64" s="151"/>
      <c r="F64" s="151"/>
      <c r="G64" s="141">
        <f t="shared" si="1"/>
        <v>0</v>
      </c>
      <c r="H64" s="151"/>
      <c r="I64" s="151"/>
      <c r="J64" s="141">
        <f t="shared" si="2"/>
        <v>0</v>
      </c>
      <c r="K64" s="151"/>
      <c r="L64" s="151"/>
      <c r="M64" s="141">
        <f t="shared" si="3"/>
        <v>0</v>
      </c>
      <c r="N64" s="151"/>
      <c r="O64" s="151"/>
      <c r="P64" s="141">
        <f t="shared" si="4"/>
        <v>0</v>
      </c>
      <c r="Q64" s="151"/>
      <c r="R64" s="151"/>
      <c r="S64" s="141">
        <f t="shared" si="5"/>
        <v>0</v>
      </c>
      <c r="T64" s="151"/>
      <c r="U64" s="151"/>
      <c r="V64" s="141">
        <f t="shared" si="6"/>
        <v>0</v>
      </c>
      <c r="W64" s="151"/>
      <c r="X64" s="151"/>
      <c r="Y64" s="141">
        <f t="shared" si="7"/>
        <v>0</v>
      </c>
      <c r="Z64" s="151"/>
      <c r="AA64" s="151"/>
      <c r="AB64" s="141">
        <f t="shared" si="8"/>
        <v>0</v>
      </c>
      <c r="AC64" s="142"/>
      <c r="AD64" s="143"/>
      <c r="AE64" s="444">
        <f t="shared" si="9"/>
        <v>0</v>
      </c>
      <c r="AF64" s="526"/>
      <c r="AG64" s="526"/>
      <c r="AH64" s="526"/>
      <c r="AI64" s="532"/>
    </row>
    <row r="65" spans="1:35" ht="12.75">
      <c r="A65" s="221" t="s">
        <v>817</v>
      </c>
      <c r="B65" s="145">
        <v>8</v>
      </c>
      <c r="C65" s="145">
        <v>0.4</v>
      </c>
      <c r="D65" s="141">
        <f t="shared" si="0"/>
        <v>0.18181818181818182</v>
      </c>
      <c r="E65" s="145">
        <v>5</v>
      </c>
      <c r="F65" s="145">
        <v>0.125</v>
      </c>
      <c r="G65" s="141">
        <f t="shared" si="1"/>
        <v>0.154320987654321</v>
      </c>
      <c r="H65" s="145">
        <v>0</v>
      </c>
      <c r="I65" s="145">
        <v>0</v>
      </c>
      <c r="J65" s="141">
        <f t="shared" si="2"/>
        <v>0</v>
      </c>
      <c r="K65" s="145">
        <v>42.5</v>
      </c>
      <c r="L65" s="145">
        <v>12.75</v>
      </c>
      <c r="M65" s="141">
        <f t="shared" si="3"/>
        <v>0.6666666666666666</v>
      </c>
      <c r="N65" s="145">
        <v>0</v>
      </c>
      <c r="O65" s="145">
        <v>0</v>
      </c>
      <c r="P65" s="141">
        <f t="shared" si="4"/>
        <v>0</v>
      </c>
      <c r="Q65" s="145">
        <v>97</v>
      </c>
      <c r="R65" s="145">
        <v>29.1</v>
      </c>
      <c r="S65" s="141">
        <f t="shared" si="5"/>
        <v>0.5187165775401069</v>
      </c>
      <c r="T65" s="145">
        <v>0</v>
      </c>
      <c r="U65" s="145">
        <v>0</v>
      </c>
      <c r="V65" s="141">
        <f t="shared" si="6"/>
        <v>0</v>
      </c>
      <c r="W65" s="145">
        <v>0</v>
      </c>
      <c r="X65" s="145">
        <v>0</v>
      </c>
      <c r="Y65" s="141">
        <f t="shared" si="7"/>
        <v>0</v>
      </c>
      <c r="Z65" s="145">
        <v>8</v>
      </c>
      <c r="AA65" s="145">
        <v>0.8</v>
      </c>
      <c r="AB65" s="141">
        <f t="shared" si="8"/>
        <v>0.13793103448275862</v>
      </c>
      <c r="AC65" s="142">
        <v>160.5</v>
      </c>
      <c r="AD65" s="143">
        <v>43.175</v>
      </c>
      <c r="AE65" s="444">
        <f t="shared" si="9"/>
        <v>0.39249999999999996</v>
      </c>
      <c r="AF65" s="526"/>
      <c r="AG65" s="526"/>
      <c r="AH65" s="526">
        <f>(AD65-AA65)/100</f>
        <v>0.42375</v>
      </c>
      <c r="AI65" s="532">
        <f t="shared" si="11"/>
        <v>0.42375</v>
      </c>
    </row>
    <row r="66" spans="1:35" ht="12.75">
      <c r="A66" s="202" t="s">
        <v>818</v>
      </c>
      <c r="B66" s="151">
        <v>8</v>
      </c>
      <c r="C66" s="151">
        <v>0.4</v>
      </c>
      <c r="D66" s="141">
        <f t="shared" si="0"/>
        <v>0.18181818181818182</v>
      </c>
      <c r="E66" s="151">
        <v>7.5</v>
      </c>
      <c r="F66" s="151">
        <v>0.1875</v>
      </c>
      <c r="G66" s="141">
        <f t="shared" si="1"/>
        <v>0.23148148148148148</v>
      </c>
      <c r="H66" s="151">
        <v>0</v>
      </c>
      <c r="I66" s="151">
        <v>0</v>
      </c>
      <c r="J66" s="141">
        <f t="shared" si="2"/>
        <v>0</v>
      </c>
      <c r="K66" s="151">
        <v>42.5</v>
      </c>
      <c r="L66" s="151">
        <v>12.75</v>
      </c>
      <c r="M66" s="141">
        <f t="shared" si="3"/>
        <v>0.6666666666666666</v>
      </c>
      <c r="N66" s="151">
        <v>0</v>
      </c>
      <c r="O66" s="151">
        <v>0</v>
      </c>
      <c r="P66" s="141">
        <f t="shared" si="4"/>
        <v>0</v>
      </c>
      <c r="Q66" s="151">
        <v>187</v>
      </c>
      <c r="R66" s="151">
        <v>56.1</v>
      </c>
      <c r="S66" s="141">
        <f t="shared" si="5"/>
        <v>1</v>
      </c>
      <c r="T66" s="151">
        <v>0</v>
      </c>
      <c r="U66" s="151">
        <v>0</v>
      </c>
      <c r="V66" s="141">
        <f t="shared" si="6"/>
        <v>0</v>
      </c>
      <c r="W66" s="151">
        <v>0</v>
      </c>
      <c r="X66" s="151">
        <v>0</v>
      </c>
      <c r="Y66" s="141">
        <f t="shared" si="7"/>
        <v>0</v>
      </c>
      <c r="Z66" s="151">
        <v>8</v>
      </c>
      <c r="AA66" s="151">
        <v>0.8</v>
      </c>
      <c r="AB66" s="141">
        <f t="shared" si="8"/>
        <v>0.13793103448275862</v>
      </c>
      <c r="AC66" s="142">
        <v>253</v>
      </c>
      <c r="AD66" s="143">
        <v>70.2375</v>
      </c>
      <c r="AE66" s="444">
        <f t="shared" si="9"/>
        <v>0.6385227272727273</v>
      </c>
      <c r="AF66" s="526"/>
      <c r="AG66" s="526">
        <f>(AD66-(R66+U66+X66))/60</f>
        <v>0.23562499999999992</v>
      </c>
      <c r="AH66" s="526"/>
      <c r="AI66" s="532">
        <f t="shared" si="11"/>
        <v>0.23562499999999992</v>
      </c>
    </row>
    <row r="67" spans="1:35" ht="12.75">
      <c r="A67" s="185">
        <v>82</v>
      </c>
      <c r="B67" s="151">
        <v>5</v>
      </c>
      <c r="C67" s="151">
        <v>0.25</v>
      </c>
      <c r="D67" s="141">
        <f t="shared" si="0"/>
        <v>0.11363636363636363</v>
      </c>
      <c r="E67" s="151">
        <v>7.5</v>
      </c>
      <c r="F67" s="151">
        <v>0.1875</v>
      </c>
      <c r="G67" s="141">
        <f t="shared" si="1"/>
        <v>0.23148148148148148</v>
      </c>
      <c r="H67" s="151">
        <v>4</v>
      </c>
      <c r="I67" s="151">
        <v>0.1</v>
      </c>
      <c r="J67" s="141">
        <f t="shared" si="2"/>
        <v>0.09090909090909091</v>
      </c>
      <c r="K67" s="151">
        <v>50</v>
      </c>
      <c r="L67" s="151">
        <v>15</v>
      </c>
      <c r="M67" s="141">
        <f t="shared" si="3"/>
        <v>0.7843137254901961</v>
      </c>
      <c r="N67" s="151">
        <v>0</v>
      </c>
      <c r="O67" s="151">
        <v>0</v>
      </c>
      <c r="P67" s="141">
        <f t="shared" si="4"/>
        <v>0</v>
      </c>
      <c r="Q67" s="151">
        <v>0</v>
      </c>
      <c r="R67" s="151">
        <v>0</v>
      </c>
      <c r="S67" s="141">
        <f t="shared" si="5"/>
        <v>0</v>
      </c>
      <c r="T67" s="151">
        <v>0</v>
      </c>
      <c r="U67" s="151">
        <v>0</v>
      </c>
      <c r="V67" s="141">
        <f t="shared" si="6"/>
        <v>0</v>
      </c>
      <c r="W67" s="151">
        <v>0</v>
      </c>
      <c r="X67" s="151">
        <v>0</v>
      </c>
      <c r="Y67" s="141">
        <f t="shared" si="7"/>
        <v>0</v>
      </c>
      <c r="Z67" s="151">
        <v>50</v>
      </c>
      <c r="AA67" s="151">
        <v>5</v>
      </c>
      <c r="AB67" s="141">
        <f t="shared" si="8"/>
        <v>0.8620689655172413</v>
      </c>
      <c r="AC67" s="142">
        <v>116.5</v>
      </c>
      <c r="AD67" s="143">
        <v>20.5375</v>
      </c>
      <c r="AE67" s="444">
        <f t="shared" si="9"/>
        <v>0.18670454545454546</v>
      </c>
      <c r="AF67" s="526">
        <f t="shared" si="10"/>
        <v>0.07910714285714288</v>
      </c>
      <c r="AG67" s="526"/>
      <c r="AH67" s="526"/>
      <c r="AI67" s="532">
        <f t="shared" si="11"/>
        <v>0.07910714285714288</v>
      </c>
    </row>
    <row r="68" spans="1:35" ht="12.75">
      <c r="A68" s="164" t="s">
        <v>806</v>
      </c>
      <c r="B68" s="145">
        <v>3</v>
      </c>
      <c r="C68" s="145">
        <v>0.15</v>
      </c>
      <c r="D68" s="141">
        <f t="shared" si="0"/>
        <v>0.06818181818181818</v>
      </c>
      <c r="E68" s="145">
        <v>0</v>
      </c>
      <c r="F68" s="145">
        <v>0</v>
      </c>
      <c r="G68" s="141">
        <f t="shared" si="1"/>
        <v>0</v>
      </c>
      <c r="H68" s="145">
        <v>0</v>
      </c>
      <c r="I68" s="145">
        <v>0</v>
      </c>
      <c r="J68" s="141">
        <f t="shared" si="2"/>
        <v>0</v>
      </c>
      <c r="K68" s="145">
        <v>63.75</v>
      </c>
      <c r="L68" s="145">
        <v>19.125</v>
      </c>
      <c r="M68" s="141">
        <f t="shared" si="3"/>
        <v>1</v>
      </c>
      <c r="N68" s="145">
        <v>0</v>
      </c>
      <c r="O68" s="145">
        <v>0</v>
      </c>
      <c r="P68" s="141">
        <f t="shared" si="4"/>
        <v>0</v>
      </c>
      <c r="Q68" s="145">
        <v>18</v>
      </c>
      <c r="R68" s="145">
        <v>5.4</v>
      </c>
      <c r="S68" s="141">
        <f t="shared" si="5"/>
        <v>0.0962566844919786</v>
      </c>
      <c r="T68" s="145">
        <v>0</v>
      </c>
      <c r="U68" s="145">
        <v>0</v>
      </c>
      <c r="V68" s="141">
        <f t="shared" si="6"/>
        <v>0</v>
      </c>
      <c r="W68" s="145">
        <v>0</v>
      </c>
      <c r="X68" s="145">
        <v>0</v>
      </c>
      <c r="Y68" s="141">
        <f t="shared" si="7"/>
        <v>0</v>
      </c>
      <c r="Z68" s="145">
        <v>0</v>
      </c>
      <c r="AA68" s="145">
        <v>0</v>
      </c>
      <c r="AB68" s="141">
        <f t="shared" si="8"/>
        <v>0</v>
      </c>
      <c r="AC68" s="142">
        <v>84.75</v>
      </c>
      <c r="AD68" s="143">
        <v>24.675</v>
      </c>
      <c r="AE68" s="444">
        <f aca="true" t="shared" si="12" ref="AE68:AE86">AD68/110</f>
        <v>0.22431818181818183</v>
      </c>
      <c r="AF68" s="526">
        <f aca="true" t="shared" si="13" ref="AF68:AF89">(AD68-(L68+O68))/70</f>
        <v>0.07928571428571429</v>
      </c>
      <c r="AG68" s="526"/>
      <c r="AH68" s="526"/>
      <c r="AI68" s="532">
        <f aca="true" t="shared" si="14" ref="AI68:AI89">AF68+AG68+AH68</f>
        <v>0.07928571428571429</v>
      </c>
    </row>
    <row r="69" spans="1:35" ht="12.75">
      <c r="A69" s="164" t="s">
        <v>807</v>
      </c>
      <c r="B69" s="151">
        <v>3</v>
      </c>
      <c r="C69" s="151">
        <v>0.15</v>
      </c>
      <c r="D69" s="141">
        <f t="shared" si="0"/>
        <v>0.06818181818181818</v>
      </c>
      <c r="E69" s="151">
        <v>0</v>
      </c>
      <c r="F69" s="151">
        <v>0</v>
      </c>
      <c r="G69" s="141">
        <f t="shared" si="1"/>
        <v>0</v>
      </c>
      <c r="H69" s="151">
        <v>0</v>
      </c>
      <c r="I69" s="151">
        <v>0</v>
      </c>
      <c r="J69" s="141">
        <f t="shared" si="2"/>
        <v>0</v>
      </c>
      <c r="K69" s="151">
        <v>63.75</v>
      </c>
      <c r="L69" s="151">
        <v>19.125</v>
      </c>
      <c r="M69" s="141">
        <f t="shared" si="3"/>
        <v>1</v>
      </c>
      <c r="N69" s="151">
        <v>0</v>
      </c>
      <c r="O69" s="151">
        <v>0</v>
      </c>
      <c r="P69" s="141">
        <f t="shared" si="4"/>
        <v>0</v>
      </c>
      <c r="Q69" s="151">
        <v>18</v>
      </c>
      <c r="R69" s="151">
        <v>5.4</v>
      </c>
      <c r="S69" s="141">
        <f t="shared" si="5"/>
        <v>0.0962566844919786</v>
      </c>
      <c r="T69" s="151">
        <v>0</v>
      </c>
      <c r="U69" s="151">
        <v>0</v>
      </c>
      <c r="V69" s="141">
        <f t="shared" si="6"/>
        <v>0</v>
      </c>
      <c r="W69" s="151">
        <v>0</v>
      </c>
      <c r="X69" s="151">
        <v>0</v>
      </c>
      <c r="Y69" s="141">
        <f t="shared" si="7"/>
        <v>0</v>
      </c>
      <c r="Z69" s="151">
        <v>0</v>
      </c>
      <c r="AA69" s="151">
        <v>0</v>
      </c>
      <c r="AB69" s="141">
        <f t="shared" si="8"/>
        <v>0</v>
      </c>
      <c r="AC69" s="142">
        <v>84.75</v>
      </c>
      <c r="AD69" s="143">
        <v>24.675</v>
      </c>
      <c r="AE69" s="444">
        <f t="shared" si="12"/>
        <v>0.22431818181818183</v>
      </c>
      <c r="AF69" s="526">
        <f t="shared" si="13"/>
        <v>0.07928571428571429</v>
      </c>
      <c r="AG69" s="526"/>
      <c r="AH69" s="526"/>
      <c r="AI69" s="532">
        <f t="shared" si="14"/>
        <v>0.07928571428571429</v>
      </c>
    </row>
    <row r="70" spans="1:35" ht="12.75">
      <c r="A70" s="164">
        <v>87</v>
      </c>
      <c r="B70" s="151">
        <v>8</v>
      </c>
      <c r="C70" s="151">
        <v>0.4</v>
      </c>
      <c r="D70" s="141">
        <f t="shared" si="0"/>
        <v>0.18181818181818182</v>
      </c>
      <c r="E70" s="151">
        <v>0</v>
      </c>
      <c r="F70" s="151">
        <v>0</v>
      </c>
      <c r="G70" s="141">
        <f t="shared" si="1"/>
        <v>0</v>
      </c>
      <c r="H70" s="151">
        <v>0</v>
      </c>
      <c r="I70" s="151">
        <v>0</v>
      </c>
      <c r="J70" s="141">
        <f t="shared" si="2"/>
        <v>0</v>
      </c>
      <c r="K70" s="151">
        <v>42.5</v>
      </c>
      <c r="L70" s="151">
        <v>12.75</v>
      </c>
      <c r="M70" s="141">
        <f t="shared" si="3"/>
        <v>0.6666666666666666</v>
      </c>
      <c r="N70" s="151">
        <v>0</v>
      </c>
      <c r="O70" s="151">
        <v>0</v>
      </c>
      <c r="P70" s="141">
        <f t="shared" si="4"/>
        <v>0</v>
      </c>
      <c r="Q70" s="151">
        <v>0</v>
      </c>
      <c r="R70" s="151">
        <v>0</v>
      </c>
      <c r="S70" s="141">
        <f t="shared" si="5"/>
        <v>0</v>
      </c>
      <c r="T70" s="151">
        <v>0</v>
      </c>
      <c r="U70" s="151">
        <v>0</v>
      </c>
      <c r="V70" s="141">
        <f t="shared" si="6"/>
        <v>0</v>
      </c>
      <c r="W70" s="151">
        <v>0</v>
      </c>
      <c r="X70" s="151">
        <v>0</v>
      </c>
      <c r="Y70" s="141">
        <f t="shared" si="7"/>
        <v>0</v>
      </c>
      <c r="Z70" s="151">
        <v>0</v>
      </c>
      <c r="AA70" s="151">
        <v>0</v>
      </c>
      <c r="AB70" s="141">
        <f t="shared" si="8"/>
        <v>0</v>
      </c>
      <c r="AC70" s="142">
        <v>50.5</v>
      </c>
      <c r="AD70" s="143">
        <v>13.15</v>
      </c>
      <c r="AE70" s="444">
        <f t="shared" si="12"/>
        <v>0.11954545454545455</v>
      </c>
      <c r="AF70" s="526">
        <f t="shared" si="13"/>
        <v>0.0057142857142857195</v>
      </c>
      <c r="AG70" s="526"/>
      <c r="AH70" s="526"/>
      <c r="AI70" s="532">
        <f t="shared" si="14"/>
        <v>0.0057142857142857195</v>
      </c>
    </row>
    <row r="71" spans="1:35" ht="12.75">
      <c r="A71" s="202">
        <v>88</v>
      </c>
      <c r="B71" s="151">
        <v>0</v>
      </c>
      <c r="C71" s="151">
        <v>0</v>
      </c>
      <c r="D71" s="141">
        <f t="shared" si="0"/>
        <v>0</v>
      </c>
      <c r="E71" s="151">
        <v>27.5</v>
      </c>
      <c r="F71" s="151">
        <v>0.6875</v>
      </c>
      <c r="G71" s="141">
        <f t="shared" si="1"/>
        <v>0.8487654320987654</v>
      </c>
      <c r="H71" s="151">
        <v>0</v>
      </c>
      <c r="I71" s="151">
        <v>0</v>
      </c>
      <c r="J71" s="141">
        <f t="shared" si="2"/>
        <v>0</v>
      </c>
      <c r="K71" s="151">
        <v>0</v>
      </c>
      <c r="L71" s="151">
        <v>0</v>
      </c>
      <c r="M71" s="141">
        <f t="shared" si="3"/>
        <v>0</v>
      </c>
      <c r="N71" s="151">
        <v>0</v>
      </c>
      <c r="O71" s="151">
        <v>0</v>
      </c>
      <c r="P71" s="141">
        <f t="shared" si="4"/>
        <v>0</v>
      </c>
      <c r="Q71" s="151">
        <v>0</v>
      </c>
      <c r="R71" s="151">
        <v>0</v>
      </c>
      <c r="S71" s="141">
        <f t="shared" si="5"/>
        <v>0</v>
      </c>
      <c r="T71" s="151">
        <v>0</v>
      </c>
      <c r="U71" s="151">
        <v>0</v>
      </c>
      <c r="V71" s="141">
        <f t="shared" si="6"/>
        <v>0</v>
      </c>
      <c r="W71" s="151">
        <v>5</v>
      </c>
      <c r="X71" s="151">
        <v>0.5</v>
      </c>
      <c r="Y71" s="141">
        <f t="shared" si="7"/>
        <v>0.5</v>
      </c>
      <c r="Z71" s="151">
        <v>15</v>
      </c>
      <c r="AA71" s="151">
        <v>1.5</v>
      </c>
      <c r="AB71" s="141">
        <f t="shared" si="8"/>
        <v>0.25862068965517243</v>
      </c>
      <c r="AC71" s="142">
        <v>47.5</v>
      </c>
      <c r="AD71" s="143">
        <v>2.6875</v>
      </c>
      <c r="AE71" s="444">
        <f t="shared" si="12"/>
        <v>0.024431818181818183</v>
      </c>
      <c r="AF71" s="526"/>
      <c r="AG71" s="526">
        <f>(AD71-(R71+U71+X71))/60</f>
        <v>0.036458333333333336</v>
      </c>
      <c r="AH71" s="526"/>
      <c r="AI71" s="532">
        <f t="shared" si="14"/>
        <v>0.036458333333333336</v>
      </c>
    </row>
    <row r="72" spans="1:35" ht="12.75">
      <c r="A72" s="164">
        <v>89</v>
      </c>
      <c r="B72" s="147">
        <v>3</v>
      </c>
      <c r="C72" s="147">
        <v>0.15</v>
      </c>
      <c r="D72" s="141">
        <f t="shared" si="0"/>
        <v>0.06818181818181818</v>
      </c>
      <c r="E72" s="147">
        <v>0</v>
      </c>
      <c r="F72" s="147">
        <v>0</v>
      </c>
      <c r="G72" s="141">
        <f t="shared" si="1"/>
        <v>0</v>
      </c>
      <c r="H72" s="147">
        <v>0</v>
      </c>
      <c r="I72" s="147">
        <v>0</v>
      </c>
      <c r="J72" s="141">
        <f t="shared" si="2"/>
        <v>0</v>
      </c>
      <c r="K72" s="147">
        <v>42.5</v>
      </c>
      <c r="L72" s="147">
        <v>12.75</v>
      </c>
      <c r="M72" s="141">
        <f t="shared" si="3"/>
        <v>0.6666666666666666</v>
      </c>
      <c r="N72" s="147">
        <v>0</v>
      </c>
      <c r="O72" s="147">
        <v>0</v>
      </c>
      <c r="P72" s="141">
        <f t="shared" si="4"/>
        <v>0</v>
      </c>
      <c r="Q72" s="147">
        <v>0</v>
      </c>
      <c r="R72" s="147">
        <v>0</v>
      </c>
      <c r="S72" s="141">
        <f t="shared" si="5"/>
        <v>0</v>
      </c>
      <c r="T72" s="147">
        <v>0</v>
      </c>
      <c r="U72" s="147">
        <v>0</v>
      </c>
      <c r="V72" s="141">
        <f t="shared" si="6"/>
        <v>0</v>
      </c>
      <c r="W72" s="147">
        <v>0</v>
      </c>
      <c r="X72" s="147">
        <v>0</v>
      </c>
      <c r="Y72" s="141">
        <f t="shared" si="7"/>
        <v>0</v>
      </c>
      <c r="Z72" s="147">
        <v>0</v>
      </c>
      <c r="AA72" s="147">
        <v>0</v>
      </c>
      <c r="AB72" s="141">
        <f t="shared" si="8"/>
        <v>0</v>
      </c>
      <c r="AC72" s="142">
        <v>45.5</v>
      </c>
      <c r="AD72" s="143">
        <v>12.9</v>
      </c>
      <c r="AE72" s="444">
        <f t="shared" si="12"/>
        <v>0.11727272727272728</v>
      </c>
      <c r="AF72" s="528">
        <f t="shared" si="13"/>
        <v>0.0021428571428571477</v>
      </c>
      <c r="AG72" s="526"/>
      <c r="AH72" s="526"/>
      <c r="AI72" s="532">
        <f t="shared" si="14"/>
        <v>0.0021428571428571477</v>
      </c>
    </row>
    <row r="73" spans="1:35" ht="12.75">
      <c r="A73" s="233">
        <v>90</v>
      </c>
      <c r="B73" s="147"/>
      <c r="C73" s="147"/>
      <c r="D73" s="141">
        <f aca="true" t="shared" si="15" ref="D73:D78">B73/$D$2</f>
        <v>0</v>
      </c>
      <c r="E73" s="147"/>
      <c r="F73" s="147"/>
      <c r="G73" s="141">
        <f aca="true" t="shared" si="16" ref="G73:G79">E73/$G$2</f>
        <v>0</v>
      </c>
      <c r="H73" s="147"/>
      <c r="I73" s="147"/>
      <c r="J73" s="141">
        <f aca="true" t="shared" si="17" ref="J73:J80">H73/$J$2</f>
        <v>0</v>
      </c>
      <c r="K73" s="147"/>
      <c r="L73" s="147"/>
      <c r="M73" s="141">
        <f aca="true" t="shared" si="18" ref="M73:M79">K73/$M$2</f>
        <v>0</v>
      </c>
      <c r="N73" s="147"/>
      <c r="O73" s="147"/>
      <c r="P73" s="141">
        <f aca="true" t="shared" si="19" ref="P73:P80">N73/$P$2</f>
        <v>0</v>
      </c>
      <c r="Q73" s="147"/>
      <c r="R73" s="147"/>
      <c r="S73" s="141">
        <f aca="true" t="shared" si="20" ref="S73:S79">Q73/$S$2</f>
        <v>0</v>
      </c>
      <c r="T73" s="147"/>
      <c r="U73" s="147"/>
      <c r="V73" s="141">
        <f aca="true" t="shared" si="21" ref="V73:V79">T73/$V$2</f>
        <v>0</v>
      </c>
      <c r="W73" s="147"/>
      <c r="X73" s="147"/>
      <c r="Y73" s="141">
        <f aca="true" t="shared" si="22" ref="Y73:Y79">W73/$Y$2</f>
        <v>0</v>
      </c>
      <c r="Z73" s="147"/>
      <c r="AA73" s="147"/>
      <c r="AB73" s="141">
        <f aca="true" t="shared" si="23" ref="AB73:AB79">Z73/$AB$2</f>
        <v>0</v>
      </c>
      <c r="AC73" s="142"/>
      <c r="AD73" s="143"/>
      <c r="AE73" s="444">
        <f t="shared" si="12"/>
        <v>0</v>
      </c>
      <c r="AF73" s="526"/>
      <c r="AG73" s="526"/>
      <c r="AH73" s="526"/>
      <c r="AI73" s="532"/>
    </row>
    <row r="74" spans="1:35" ht="12.75">
      <c r="A74" s="233">
        <v>91</v>
      </c>
      <c r="B74" s="147"/>
      <c r="C74" s="147"/>
      <c r="D74" s="141">
        <f t="shared" si="15"/>
        <v>0</v>
      </c>
      <c r="E74" s="147"/>
      <c r="F74" s="147"/>
      <c r="G74" s="141">
        <f t="shared" si="16"/>
        <v>0</v>
      </c>
      <c r="H74" s="147"/>
      <c r="I74" s="147"/>
      <c r="J74" s="141">
        <f t="shared" si="17"/>
        <v>0</v>
      </c>
      <c r="K74" s="147"/>
      <c r="L74" s="147"/>
      <c r="M74" s="141">
        <f t="shared" si="18"/>
        <v>0</v>
      </c>
      <c r="N74" s="147"/>
      <c r="O74" s="147"/>
      <c r="P74" s="141">
        <f t="shared" si="19"/>
        <v>0</v>
      </c>
      <c r="Q74" s="147"/>
      <c r="R74" s="147"/>
      <c r="S74" s="141">
        <f t="shared" si="20"/>
        <v>0</v>
      </c>
      <c r="T74" s="147"/>
      <c r="U74" s="147"/>
      <c r="V74" s="141">
        <f t="shared" si="21"/>
        <v>0</v>
      </c>
      <c r="W74" s="147"/>
      <c r="X74" s="147"/>
      <c r="Y74" s="141">
        <f t="shared" si="22"/>
        <v>0</v>
      </c>
      <c r="Z74" s="147"/>
      <c r="AA74" s="147"/>
      <c r="AB74" s="141">
        <f t="shared" si="23"/>
        <v>0</v>
      </c>
      <c r="AC74" s="142"/>
      <c r="AD74" s="143"/>
      <c r="AE74" s="444">
        <f t="shared" si="12"/>
        <v>0</v>
      </c>
      <c r="AF74" s="526"/>
      <c r="AG74" s="526"/>
      <c r="AH74" s="526"/>
      <c r="AI74" s="532"/>
    </row>
    <row r="75" spans="1:35" ht="12.75">
      <c r="A75" s="233">
        <v>92</v>
      </c>
      <c r="B75" s="147"/>
      <c r="C75" s="147"/>
      <c r="D75" s="141">
        <f t="shared" si="15"/>
        <v>0</v>
      </c>
      <c r="E75" s="147"/>
      <c r="F75" s="147"/>
      <c r="G75" s="141">
        <f t="shared" si="16"/>
        <v>0</v>
      </c>
      <c r="H75" s="147"/>
      <c r="I75" s="147"/>
      <c r="J75" s="141">
        <f t="shared" si="17"/>
        <v>0</v>
      </c>
      <c r="K75" s="147"/>
      <c r="L75" s="147"/>
      <c r="M75" s="141">
        <f t="shared" si="18"/>
        <v>0</v>
      </c>
      <c r="N75" s="147"/>
      <c r="O75" s="147"/>
      <c r="P75" s="141">
        <f t="shared" si="19"/>
        <v>0</v>
      </c>
      <c r="Q75" s="147"/>
      <c r="R75" s="147"/>
      <c r="S75" s="141">
        <f t="shared" si="20"/>
        <v>0</v>
      </c>
      <c r="T75" s="147"/>
      <c r="U75" s="147"/>
      <c r="V75" s="141">
        <f t="shared" si="21"/>
        <v>0</v>
      </c>
      <c r="W75" s="147"/>
      <c r="X75" s="147"/>
      <c r="Y75" s="141">
        <f t="shared" si="22"/>
        <v>0</v>
      </c>
      <c r="Z75" s="147"/>
      <c r="AA75" s="147"/>
      <c r="AB75" s="141">
        <f t="shared" si="23"/>
        <v>0</v>
      </c>
      <c r="AC75" s="142"/>
      <c r="AD75" s="143"/>
      <c r="AE75" s="444">
        <f t="shared" si="12"/>
        <v>0</v>
      </c>
      <c r="AF75" s="526"/>
      <c r="AG75" s="526"/>
      <c r="AH75" s="526"/>
      <c r="AI75" s="532"/>
    </row>
    <row r="76" spans="1:35" ht="12.75">
      <c r="A76" s="233">
        <v>93</v>
      </c>
      <c r="B76" s="147"/>
      <c r="C76" s="147"/>
      <c r="D76" s="141">
        <f t="shared" si="15"/>
        <v>0</v>
      </c>
      <c r="E76" s="147"/>
      <c r="F76" s="147"/>
      <c r="G76" s="141">
        <f t="shared" si="16"/>
        <v>0</v>
      </c>
      <c r="H76" s="147"/>
      <c r="I76" s="147"/>
      <c r="J76" s="141">
        <f t="shared" si="17"/>
        <v>0</v>
      </c>
      <c r="K76" s="147"/>
      <c r="L76" s="147"/>
      <c r="M76" s="141">
        <f t="shared" si="18"/>
        <v>0</v>
      </c>
      <c r="N76" s="147"/>
      <c r="O76" s="147"/>
      <c r="P76" s="141">
        <f t="shared" si="19"/>
        <v>0</v>
      </c>
      <c r="Q76" s="147"/>
      <c r="R76" s="147"/>
      <c r="S76" s="141">
        <f t="shared" si="20"/>
        <v>0</v>
      </c>
      <c r="T76" s="147"/>
      <c r="U76" s="147"/>
      <c r="V76" s="141">
        <f t="shared" si="21"/>
        <v>0</v>
      </c>
      <c r="W76" s="147"/>
      <c r="X76" s="147"/>
      <c r="Y76" s="141">
        <f t="shared" si="22"/>
        <v>0</v>
      </c>
      <c r="Z76" s="147"/>
      <c r="AA76" s="147"/>
      <c r="AB76" s="141">
        <f t="shared" si="23"/>
        <v>0</v>
      </c>
      <c r="AC76" s="142"/>
      <c r="AD76" s="143"/>
      <c r="AE76" s="444">
        <f t="shared" si="12"/>
        <v>0</v>
      </c>
      <c r="AF76" s="526"/>
      <c r="AG76" s="526"/>
      <c r="AH76" s="526"/>
      <c r="AI76" s="532"/>
    </row>
    <row r="77" spans="1:35" ht="12.75">
      <c r="A77" s="164" t="s">
        <v>13</v>
      </c>
      <c r="B77" s="147">
        <v>3</v>
      </c>
      <c r="C77" s="147">
        <v>0.15</v>
      </c>
      <c r="D77" s="141">
        <f t="shared" si="15"/>
        <v>0.06818181818181818</v>
      </c>
      <c r="E77" s="147">
        <v>22</v>
      </c>
      <c r="F77" s="147">
        <v>0.55</v>
      </c>
      <c r="G77" s="141">
        <f t="shared" si="16"/>
        <v>0.6790123456790124</v>
      </c>
      <c r="H77" s="147">
        <v>0</v>
      </c>
      <c r="I77" s="147">
        <v>0</v>
      </c>
      <c r="J77" s="141">
        <f t="shared" si="17"/>
        <v>0</v>
      </c>
      <c r="K77" s="147">
        <v>42.5</v>
      </c>
      <c r="L77" s="147">
        <v>12.75</v>
      </c>
      <c r="M77" s="141">
        <f t="shared" si="18"/>
        <v>0.6666666666666666</v>
      </c>
      <c r="N77" s="147">
        <v>0</v>
      </c>
      <c r="O77" s="147">
        <v>0</v>
      </c>
      <c r="P77" s="141">
        <f t="shared" si="19"/>
        <v>0</v>
      </c>
      <c r="Q77" s="147">
        <v>0</v>
      </c>
      <c r="R77" s="147">
        <v>0</v>
      </c>
      <c r="S77" s="141">
        <f t="shared" si="20"/>
        <v>0</v>
      </c>
      <c r="T77" s="147">
        <v>0</v>
      </c>
      <c r="U77" s="147">
        <v>0</v>
      </c>
      <c r="V77" s="141">
        <f t="shared" si="21"/>
        <v>0</v>
      </c>
      <c r="W77" s="147">
        <v>0</v>
      </c>
      <c r="X77" s="147">
        <v>0</v>
      </c>
      <c r="Y77" s="141">
        <f t="shared" si="22"/>
        <v>0</v>
      </c>
      <c r="Z77" s="147">
        <v>0</v>
      </c>
      <c r="AA77" s="147">
        <v>0</v>
      </c>
      <c r="AB77" s="141">
        <f t="shared" si="23"/>
        <v>0</v>
      </c>
      <c r="AC77" s="142">
        <v>67.5</v>
      </c>
      <c r="AD77" s="143">
        <v>13.45</v>
      </c>
      <c r="AE77" s="444">
        <f t="shared" si="12"/>
        <v>0.12227272727272727</v>
      </c>
      <c r="AF77" s="526">
        <f t="shared" si="13"/>
        <v>0.00999999999999999</v>
      </c>
      <c r="AG77" s="526"/>
      <c r="AH77" s="526"/>
      <c r="AI77" s="532">
        <f t="shared" si="14"/>
        <v>0.00999999999999999</v>
      </c>
    </row>
    <row r="78" spans="1:35" ht="12.75">
      <c r="A78" s="164" t="s">
        <v>819</v>
      </c>
      <c r="B78" s="151">
        <v>3</v>
      </c>
      <c r="C78" s="151">
        <v>0.15</v>
      </c>
      <c r="D78" s="141">
        <f t="shared" si="15"/>
        <v>0.06818181818181818</v>
      </c>
      <c r="E78" s="151">
        <v>0</v>
      </c>
      <c r="F78" s="151">
        <v>0</v>
      </c>
      <c r="G78" s="141">
        <f t="shared" si="16"/>
        <v>0</v>
      </c>
      <c r="H78" s="151">
        <v>0</v>
      </c>
      <c r="I78" s="151">
        <v>0</v>
      </c>
      <c r="J78" s="141">
        <f t="shared" si="17"/>
        <v>0</v>
      </c>
      <c r="K78" s="151">
        <v>42.5</v>
      </c>
      <c r="L78" s="151">
        <v>12.75</v>
      </c>
      <c r="M78" s="141">
        <f t="shared" si="18"/>
        <v>0.6666666666666666</v>
      </c>
      <c r="N78" s="151">
        <v>0</v>
      </c>
      <c r="O78" s="151">
        <v>0</v>
      </c>
      <c r="P78" s="141">
        <f t="shared" si="19"/>
        <v>0</v>
      </c>
      <c r="Q78" s="151">
        <v>0</v>
      </c>
      <c r="R78" s="151">
        <v>0</v>
      </c>
      <c r="S78" s="141">
        <f t="shared" si="20"/>
        <v>0</v>
      </c>
      <c r="T78" s="151">
        <v>0</v>
      </c>
      <c r="U78" s="151">
        <v>0</v>
      </c>
      <c r="V78" s="141">
        <f t="shared" si="21"/>
        <v>0</v>
      </c>
      <c r="W78" s="151">
        <v>0</v>
      </c>
      <c r="X78" s="151">
        <v>0</v>
      </c>
      <c r="Y78" s="141">
        <f t="shared" si="22"/>
        <v>0</v>
      </c>
      <c r="Z78" s="151">
        <v>0</v>
      </c>
      <c r="AA78" s="151">
        <v>0</v>
      </c>
      <c r="AB78" s="141">
        <f t="shared" si="23"/>
        <v>0</v>
      </c>
      <c r="AC78" s="142">
        <v>45.5</v>
      </c>
      <c r="AD78" s="143">
        <v>12.9</v>
      </c>
      <c r="AE78" s="444">
        <f t="shared" si="12"/>
        <v>0.11727272727272728</v>
      </c>
      <c r="AF78" s="526">
        <f t="shared" si="13"/>
        <v>0.0021428571428571477</v>
      </c>
      <c r="AG78" s="526"/>
      <c r="AH78" s="526"/>
      <c r="AI78" s="532">
        <f t="shared" si="14"/>
        <v>0.0021428571428571477</v>
      </c>
    </row>
    <row r="79" spans="1:35" ht="12.75">
      <c r="A79" s="164" t="s">
        <v>820</v>
      </c>
      <c r="B79" s="151">
        <v>3</v>
      </c>
      <c r="C79" s="151">
        <v>0.15</v>
      </c>
      <c r="D79" s="141">
        <f aca="true" t="shared" si="24" ref="D79:D87">B79/$D$2</f>
        <v>0.06818181818181818</v>
      </c>
      <c r="E79" s="151">
        <v>0</v>
      </c>
      <c r="F79" s="151">
        <v>0</v>
      </c>
      <c r="G79" s="141">
        <f t="shared" si="16"/>
        <v>0</v>
      </c>
      <c r="H79" s="151">
        <v>0</v>
      </c>
      <c r="I79" s="151">
        <v>0</v>
      </c>
      <c r="J79" s="141">
        <f t="shared" si="17"/>
        <v>0</v>
      </c>
      <c r="K79" s="151">
        <v>42.5</v>
      </c>
      <c r="L79" s="151">
        <v>12.75</v>
      </c>
      <c r="M79" s="141">
        <f t="shared" si="18"/>
        <v>0.6666666666666666</v>
      </c>
      <c r="N79" s="151">
        <v>0</v>
      </c>
      <c r="O79" s="151">
        <v>0</v>
      </c>
      <c r="P79" s="141">
        <f t="shared" si="19"/>
        <v>0</v>
      </c>
      <c r="Q79" s="151">
        <v>0</v>
      </c>
      <c r="R79" s="151">
        <v>0</v>
      </c>
      <c r="S79" s="141">
        <f t="shared" si="20"/>
        <v>0</v>
      </c>
      <c r="T79" s="151">
        <v>0</v>
      </c>
      <c r="U79" s="151">
        <v>0</v>
      </c>
      <c r="V79" s="141">
        <f t="shared" si="21"/>
        <v>0</v>
      </c>
      <c r="W79" s="151">
        <v>0</v>
      </c>
      <c r="X79" s="151">
        <v>0</v>
      </c>
      <c r="Y79" s="141">
        <f t="shared" si="22"/>
        <v>0</v>
      </c>
      <c r="Z79" s="151">
        <v>0</v>
      </c>
      <c r="AA79" s="151">
        <v>0</v>
      </c>
      <c r="AB79" s="141">
        <f t="shared" si="23"/>
        <v>0</v>
      </c>
      <c r="AC79" s="142">
        <v>45.5</v>
      </c>
      <c r="AD79" s="143">
        <v>12.9</v>
      </c>
      <c r="AE79" s="444">
        <f t="shared" si="12"/>
        <v>0.11727272727272728</v>
      </c>
      <c r="AF79" s="526">
        <f t="shared" si="13"/>
        <v>0.0021428571428571477</v>
      </c>
      <c r="AG79" s="526"/>
      <c r="AH79" s="526"/>
      <c r="AI79" s="532">
        <f t="shared" si="14"/>
        <v>0.0021428571428571477</v>
      </c>
    </row>
    <row r="80" spans="1:35" ht="12.75">
      <c r="A80" s="185" t="s">
        <v>821</v>
      </c>
      <c r="B80" s="145">
        <v>0</v>
      </c>
      <c r="C80" s="145">
        <v>0</v>
      </c>
      <c r="D80" s="141">
        <f t="shared" si="24"/>
        <v>0</v>
      </c>
      <c r="E80" s="151">
        <v>2.5</v>
      </c>
      <c r="F80" s="151">
        <v>0.0625</v>
      </c>
      <c r="G80" s="141">
        <f aca="true" t="shared" si="25" ref="G80:G87">E80/$G$2</f>
        <v>0.0771604938271605</v>
      </c>
      <c r="H80" s="145">
        <v>0</v>
      </c>
      <c r="I80" s="145">
        <v>0</v>
      </c>
      <c r="J80" s="141">
        <f t="shared" si="17"/>
        <v>0</v>
      </c>
      <c r="K80" s="145">
        <v>0</v>
      </c>
      <c r="L80" s="145">
        <v>0</v>
      </c>
      <c r="M80" s="141">
        <f aca="true" t="shared" si="26" ref="M80:M87">K80/$M$2</f>
        <v>0</v>
      </c>
      <c r="N80" s="145">
        <v>0</v>
      </c>
      <c r="O80" s="145">
        <v>0</v>
      </c>
      <c r="P80" s="141">
        <f t="shared" si="19"/>
        <v>0</v>
      </c>
      <c r="Q80" s="145">
        <v>0</v>
      </c>
      <c r="R80" s="145">
        <v>0</v>
      </c>
      <c r="S80" s="141">
        <f aca="true" t="shared" si="27" ref="S80:S87">Q80/$S$2</f>
        <v>0</v>
      </c>
      <c r="T80" s="145">
        <v>0</v>
      </c>
      <c r="U80" s="145">
        <v>0</v>
      </c>
      <c r="V80" s="141">
        <f aca="true" t="shared" si="28" ref="V80:V87">T80/$V$2</f>
        <v>0</v>
      </c>
      <c r="W80" s="145">
        <v>0</v>
      </c>
      <c r="X80" s="145">
        <v>0</v>
      </c>
      <c r="Y80" s="141">
        <f aca="true" t="shared" si="29" ref="Y80:Y87">W80/$Y$2</f>
        <v>0</v>
      </c>
      <c r="Z80" s="145">
        <v>0</v>
      </c>
      <c r="AA80" s="145">
        <v>0</v>
      </c>
      <c r="AB80" s="141">
        <f aca="true" t="shared" si="30" ref="AB80:AB87">Z80/$AB$2</f>
        <v>0</v>
      </c>
      <c r="AC80" s="529">
        <v>0</v>
      </c>
      <c r="AD80" s="530">
        <v>0</v>
      </c>
      <c r="AE80" s="444">
        <v>0.0005681818181818182</v>
      </c>
      <c r="AF80" s="526">
        <f t="shared" si="13"/>
        <v>0</v>
      </c>
      <c r="AG80" s="526"/>
      <c r="AH80" s="526"/>
      <c r="AI80" s="532">
        <f t="shared" si="14"/>
        <v>0</v>
      </c>
    </row>
    <row r="81" spans="1:35" ht="12.75">
      <c r="A81" s="185" t="s">
        <v>822</v>
      </c>
      <c r="B81" s="151">
        <v>0</v>
      </c>
      <c r="C81" s="151">
        <v>0</v>
      </c>
      <c r="D81" s="141">
        <f t="shared" si="24"/>
        <v>0</v>
      </c>
      <c r="E81" s="151">
        <v>2.5</v>
      </c>
      <c r="F81" s="151">
        <v>0.0625</v>
      </c>
      <c r="G81" s="141">
        <f t="shared" si="25"/>
        <v>0.0771604938271605</v>
      </c>
      <c r="H81" s="151">
        <v>0</v>
      </c>
      <c r="I81" s="151">
        <v>0</v>
      </c>
      <c r="J81" s="141">
        <f aca="true" t="shared" si="31" ref="J81:J87">H81/$J$2</f>
        <v>0</v>
      </c>
      <c r="K81" s="151">
        <v>0</v>
      </c>
      <c r="L81" s="151">
        <v>0</v>
      </c>
      <c r="M81" s="141">
        <f t="shared" si="26"/>
        <v>0</v>
      </c>
      <c r="N81" s="151">
        <v>0</v>
      </c>
      <c r="O81" s="151">
        <v>0</v>
      </c>
      <c r="P81" s="141">
        <f aca="true" t="shared" si="32" ref="P81:P87">N81/$P$2</f>
        <v>0</v>
      </c>
      <c r="Q81" s="151">
        <v>0</v>
      </c>
      <c r="R81" s="151">
        <v>0</v>
      </c>
      <c r="S81" s="141">
        <f t="shared" si="27"/>
        <v>0</v>
      </c>
      <c r="T81" s="151">
        <v>0</v>
      </c>
      <c r="U81" s="151">
        <v>0</v>
      </c>
      <c r="V81" s="141">
        <f t="shared" si="28"/>
        <v>0</v>
      </c>
      <c r="W81" s="151">
        <v>0</v>
      </c>
      <c r="X81" s="151">
        <v>0</v>
      </c>
      <c r="Y81" s="141">
        <f t="shared" si="29"/>
        <v>0</v>
      </c>
      <c r="Z81" s="151">
        <v>0</v>
      </c>
      <c r="AA81" s="151">
        <v>0</v>
      </c>
      <c r="AB81" s="141">
        <f t="shared" si="30"/>
        <v>0</v>
      </c>
      <c r="AC81" s="142">
        <v>2.5</v>
      </c>
      <c r="AD81" s="143">
        <v>0.0625</v>
      </c>
      <c r="AE81" s="444">
        <f t="shared" si="12"/>
        <v>0.0005681818181818182</v>
      </c>
      <c r="AF81" s="526">
        <f t="shared" si="13"/>
        <v>0.0008928571428571428</v>
      </c>
      <c r="AG81" s="526"/>
      <c r="AH81" s="526"/>
      <c r="AI81" s="532">
        <f t="shared" si="14"/>
        <v>0.0008928571428571428</v>
      </c>
    </row>
    <row r="82" spans="1:35" ht="12.75">
      <c r="A82" s="185">
        <v>101</v>
      </c>
      <c r="B82" s="151">
        <v>0</v>
      </c>
      <c r="C82" s="151">
        <v>0</v>
      </c>
      <c r="D82" s="141">
        <f t="shared" si="24"/>
        <v>0</v>
      </c>
      <c r="E82" s="151">
        <v>31</v>
      </c>
      <c r="F82" s="151">
        <v>0.775</v>
      </c>
      <c r="G82" s="141">
        <f t="shared" si="25"/>
        <v>0.9567901234567902</v>
      </c>
      <c r="H82" s="151">
        <v>4</v>
      </c>
      <c r="I82" s="151">
        <v>0.1</v>
      </c>
      <c r="J82" s="141">
        <f t="shared" si="31"/>
        <v>0.09090909090909091</v>
      </c>
      <c r="K82" s="151">
        <v>0</v>
      </c>
      <c r="L82" s="151">
        <v>0</v>
      </c>
      <c r="M82" s="141">
        <f t="shared" si="26"/>
        <v>0</v>
      </c>
      <c r="N82" s="151">
        <v>0</v>
      </c>
      <c r="O82" s="151">
        <v>0</v>
      </c>
      <c r="P82" s="141">
        <f t="shared" si="32"/>
        <v>0</v>
      </c>
      <c r="Q82" s="151">
        <v>18</v>
      </c>
      <c r="R82" s="151">
        <v>5.4</v>
      </c>
      <c r="S82" s="141">
        <f t="shared" si="27"/>
        <v>0.0962566844919786</v>
      </c>
      <c r="T82" s="151">
        <v>0</v>
      </c>
      <c r="U82" s="151">
        <v>0</v>
      </c>
      <c r="V82" s="141">
        <f t="shared" si="28"/>
        <v>0</v>
      </c>
      <c r="W82" s="151">
        <v>0</v>
      </c>
      <c r="X82" s="151">
        <v>0</v>
      </c>
      <c r="Y82" s="141">
        <f t="shared" si="29"/>
        <v>0</v>
      </c>
      <c r="Z82" s="151">
        <v>0</v>
      </c>
      <c r="AA82" s="151">
        <v>0</v>
      </c>
      <c r="AB82" s="141">
        <f t="shared" si="30"/>
        <v>0</v>
      </c>
      <c r="AC82" s="142">
        <v>53</v>
      </c>
      <c r="AD82" s="143">
        <v>6.275</v>
      </c>
      <c r="AE82" s="444">
        <f t="shared" si="12"/>
        <v>0.05704545454545455</v>
      </c>
      <c r="AF82" s="526">
        <f t="shared" si="13"/>
        <v>0.08964285714285715</v>
      </c>
      <c r="AG82" s="526"/>
      <c r="AH82" s="526"/>
      <c r="AI82" s="532">
        <f t="shared" si="14"/>
        <v>0.08964285714285715</v>
      </c>
    </row>
    <row r="83" spans="1:35" ht="12.75">
      <c r="A83" s="221">
        <v>102</v>
      </c>
      <c r="B83" s="151">
        <v>0</v>
      </c>
      <c r="C83" s="151">
        <v>0</v>
      </c>
      <c r="D83" s="141">
        <f t="shared" si="24"/>
        <v>0</v>
      </c>
      <c r="E83" s="151">
        <v>20</v>
      </c>
      <c r="F83" s="151">
        <v>0.5</v>
      </c>
      <c r="G83" s="141">
        <f t="shared" si="25"/>
        <v>0.617283950617284</v>
      </c>
      <c r="H83" s="151">
        <v>0</v>
      </c>
      <c r="I83" s="151">
        <v>0</v>
      </c>
      <c r="J83" s="141">
        <f t="shared" si="31"/>
        <v>0</v>
      </c>
      <c r="K83" s="151">
        <v>0</v>
      </c>
      <c r="L83" s="151">
        <v>0</v>
      </c>
      <c r="M83" s="141">
        <f t="shared" si="26"/>
        <v>0</v>
      </c>
      <c r="N83" s="151">
        <v>70</v>
      </c>
      <c r="O83" s="151">
        <v>7</v>
      </c>
      <c r="P83" s="141">
        <f t="shared" si="32"/>
        <v>0.625</v>
      </c>
      <c r="Q83" s="151">
        <v>0</v>
      </c>
      <c r="R83" s="151">
        <v>0</v>
      </c>
      <c r="S83" s="141">
        <f t="shared" si="27"/>
        <v>0</v>
      </c>
      <c r="T83" s="151">
        <v>0</v>
      </c>
      <c r="U83" s="151">
        <v>0</v>
      </c>
      <c r="V83" s="141">
        <f t="shared" si="28"/>
        <v>0</v>
      </c>
      <c r="W83" s="151">
        <v>0</v>
      </c>
      <c r="X83" s="151">
        <v>0</v>
      </c>
      <c r="Y83" s="141">
        <f t="shared" si="29"/>
        <v>0</v>
      </c>
      <c r="Z83" s="151">
        <v>58</v>
      </c>
      <c r="AA83" s="151">
        <v>5.8</v>
      </c>
      <c r="AB83" s="141">
        <f t="shared" si="30"/>
        <v>1</v>
      </c>
      <c r="AC83" s="142">
        <v>148</v>
      </c>
      <c r="AD83" s="143">
        <v>13.3</v>
      </c>
      <c r="AE83" s="444">
        <f t="shared" si="12"/>
        <v>0.12090909090909091</v>
      </c>
      <c r="AF83" s="526"/>
      <c r="AG83" s="526"/>
      <c r="AH83" s="526">
        <f>(AD83-AA83)/100</f>
        <v>0.07500000000000001</v>
      </c>
      <c r="AI83" s="532">
        <f t="shared" si="14"/>
        <v>0.07500000000000001</v>
      </c>
    </row>
    <row r="84" spans="1:35" ht="12.75">
      <c r="A84" s="202">
        <v>104</v>
      </c>
      <c r="B84" s="147">
        <v>0.375</v>
      </c>
      <c r="C84" s="147">
        <v>0.01875</v>
      </c>
      <c r="D84" s="141">
        <f t="shared" si="24"/>
        <v>0.008522727272727272</v>
      </c>
      <c r="E84" s="147">
        <v>25</v>
      </c>
      <c r="F84" s="147">
        <v>0.625</v>
      </c>
      <c r="G84" s="141">
        <f t="shared" si="25"/>
        <v>0.7716049382716049</v>
      </c>
      <c r="H84" s="147">
        <v>0</v>
      </c>
      <c r="I84" s="147">
        <v>0</v>
      </c>
      <c r="J84" s="141">
        <f t="shared" si="31"/>
        <v>0</v>
      </c>
      <c r="K84" s="147">
        <v>0</v>
      </c>
      <c r="L84" s="147">
        <v>0</v>
      </c>
      <c r="M84" s="141">
        <f t="shared" si="26"/>
        <v>0</v>
      </c>
      <c r="N84" s="147">
        <v>0</v>
      </c>
      <c r="O84" s="147">
        <v>0</v>
      </c>
      <c r="P84" s="141">
        <f t="shared" si="32"/>
        <v>0</v>
      </c>
      <c r="Q84" s="147">
        <v>97</v>
      </c>
      <c r="R84" s="147">
        <v>29.1</v>
      </c>
      <c r="S84" s="141">
        <f t="shared" si="27"/>
        <v>0.5187165775401069</v>
      </c>
      <c r="T84" s="147">
        <v>0</v>
      </c>
      <c r="U84" s="147">
        <v>0</v>
      </c>
      <c r="V84" s="141">
        <f t="shared" si="28"/>
        <v>0</v>
      </c>
      <c r="W84" s="147">
        <v>0</v>
      </c>
      <c r="X84" s="147">
        <v>0</v>
      </c>
      <c r="Y84" s="141">
        <f t="shared" si="29"/>
        <v>0</v>
      </c>
      <c r="Z84" s="147">
        <v>1</v>
      </c>
      <c r="AA84" s="147">
        <v>0.1</v>
      </c>
      <c r="AB84" s="141">
        <f t="shared" si="30"/>
        <v>0.017241379310344827</v>
      </c>
      <c r="AC84" s="142">
        <v>123.375</v>
      </c>
      <c r="AD84" s="143">
        <v>29.84375</v>
      </c>
      <c r="AE84" s="444">
        <f t="shared" si="12"/>
        <v>0.2713068181818182</v>
      </c>
      <c r="AF84" s="526"/>
      <c r="AG84" s="526">
        <f>(AD84-(R84+U84+X84))/60</f>
        <v>0.012395833333333309</v>
      </c>
      <c r="AH84" s="526"/>
      <c r="AI84" s="532">
        <f t="shared" si="14"/>
        <v>0.012395833333333309</v>
      </c>
    </row>
    <row r="85" spans="1:35" ht="12.75">
      <c r="A85" s="202" t="s">
        <v>784</v>
      </c>
      <c r="B85" s="151">
        <v>3</v>
      </c>
      <c r="C85" s="151">
        <v>0.15</v>
      </c>
      <c r="D85" s="141">
        <f t="shared" si="24"/>
        <v>0.06818181818181818</v>
      </c>
      <c r="E85" s="151">
        <v>0</v>
      </c>
      <c r="F85" s="151">
        <v>0</v>
      </c>
      <c r="G85" s="141">
        <f t="shared" si="25"/>
        <v>0</v>
      </c>
      <c r="H85" s="151">
        <v>0</v>
      </c>
      <c r="I85" s="151">
        <v>0</v>
      </c>
      <c r="J85" s="141">
        <f t="shared" si="31"/>
        <v>0</v>
      </c>
      <c r="K85" s="151">
        <v>20</v>
      </c>
      <c r="L85" s="151">
        <v>6</v>
      </c>
      <c r="M85" s="141">
        <f t="shared" si="26"/>
        <v>0.3137254901960784</v>
      </c>
      <c r="N85" s="151">
        <v>0</v>
      </c>
      <c r="O85" s="151">
        <v>0</v>
      </c>
      <c r="P85" s="141">
        <f t="shared" si="32"/>
        <v>0</v>
      </c>
      <c r="Q85" s="151">
        <v>108</v>
      </c>
      <c r="R85" s="151">
        <v>32.4</v>
      </c>
      <c r="S85" s="141">
        <f t="shared" si="27"/>
        <v>0.5775401069518716</v>
      </c>
      <c r="T85" s="151">
        <v>0</v>
      </c>
      <c r="U85" s="151">
        <v>0</v>
      </c>
      <c r="V85" s="141">
        <f t="shared" si="28"/>
        <v>0</v>
      </c>
      <c r="W85" s="151">
        <v>0</v>
      </c>
      <c r="X85" s="151">
        <v>0</v>
      </c>
      <c r="Y85" s="141">
        <f t="shared" si="29"/>
        <v>0</v>
      </c>
      <c r="Z85" s="151">
        <v>0</v>
      </c>
      <c r="AA85" s="151">
        <v>0</v>
      </c>
      <c r="AB85" s="141">
        <f t="shared" si="30"/>
        <v>0</v>
      </c>
      <c r="AC85" s="142">
        <v>131</v>
      </c>
      <c r="AD85" s="143">
        <v>38.55</v>
      </c>
      <c r="AE85" s="444">
        <f t="shared" si="12"/>
        <v>0.3504545454545454</v>
      </c>
      <c r="AF85" s="526"/>
      <c r="AG85" s="526">
        <f>(AD85-(R85+U85+X85))/60</f>
        <v>0.10249999999999998</v>
      </c>
      <c r="AH85" s="526"/>
      <c r="AI85" s="532">
        <f t="shared" si="14"/>
        <v>0.10249999999999998</v>
      </c>
    </row>
    <row r="86" spans="1:35" ht="12.75">
      <c r="A86" s="221" t="s">
        <v>785</v>
      </c>
      <c r="B86" s="151">
        <v>3</v>
      </c>
      <c r="C86" s="151">
        <v>0.15</v>
      </c>
      <c r="D86" s="141">
        <f t="shared" si="24"/>
        <v>0.06818181818181818</v>
      </c>
      <c r="E86" s="151">
        <v>0</v>
      </c>
      <c r="F86" s="151">
        <v>0</v>
      </c>
      <c r="G86" s="141">
        <f t="shared" si="25"/>
        <v>0</v>
      </c>
      <c r="H86" s="151">
        <v>0</v>
      </c>
      <c r="I86" s="151">
        <v>0</v>
      </c>
      <c r="J86" s="141">
        <f t="shared" si="31"/>
        <v>0</v>
      </c>
      <c r="K86" s="151">
        <v>20</v>
      </c>
      <c r="L86" s="151">
        <v>6</v>
      </c>
      <c r="M86" s="141">
        <f t="shared" si="26"/>
        <v>0.3137254901960784</v>
      </c>
      <c r="N86" s="151">
        <v>0</v>
      </c>
      <c r="O86" s="151">
        <v>0</v>
      </c>
      <c r="P86" s="141">
        <f t="shared" si="32"/>
        <v>0</v>
      </c>
      <c r="Q86" s="151">
        <v>108</v>
      </c>
      <c r="R86" s="151">
        <v>32.4</v>
      </c>
      <c r="S86" s="141">
        <f t="shared" si="27"/>
        <v>0.5775401069518716</v>
      </c>
      <c r="T86" s="151">
        <v>0</v>
      </c>
      <c r="U86" s="151">
        <v>0</v>
      </c>
      <c r="V86" s="141">
        <f t="shared" si="28"/>
        <v>0</v>
      </c>
      <c r="W86" s="151">
        <v>0</v>
      </c>
      <c r="X86" s="151">
        <v>0</v>
      </c>
      <c r="Y86" s="141">
        <f t="shared" si="29"/>
        <v>0</v>
      </c>
      <c r="Z86" s="151">
        <v>8</v>
      </c>
      <c r="AA86" s="151">
        <v>0.8</v>
      </c>
      <c r="AB86" s="141">
        <f t="shared" si="30"/>
        <v>0.13793103448275862</v>
      </c>
      <c r="AC86" s="142">
        <v>139</v>
      </c>
      <c r="AD86" s="143">
        <v>39.35</v>
      </c>
      <c r="AE86" s="444">
        <f t="shared" si="12"/>
        <v>0.3577272727272727</v>
      </c>
      <c r="AF86" s="526"/>
      <c r="AG86" s="526"/>
      <c r="AH86" s="526">
        <f>(AD86-AA86)/100</f>
        <v>0.38550000000000006</v>
      </c>
      <c r="AI86" s="532">
        <f t="shared" si="14"/>
        <v>0.38550000000000006</v>
      </c>
    </row>
    <row r="87" spans="1:35" ht="12.75">
      <c r="A87" s="289" t="s">
        <v>786</v>
      </c>
      <c r="B87" s="151">
        <v>3</v>
      </c>
      <c r="C87" s="151">
        <v>0.15</v>
      </c>
      <c r="D87" s="141">
        <f t="shared" si="24"/>
        <v>0.06818181818181818</v>
      </c>
      <c r="E87" s="155">
        <v>0</v>
      </c>
      <c r="F87" s="155">
        <v>0</v>
      </c>
      <c r="G87" s="141">
        <f t="shared" si="25"/>
        <v>0</v>
      </c>
      <c r="H87" s="155">
        <v>0</v>
      </c>
      <c r="I87" s="155">
        <v>0</v>
      </c>
      <c r="J87" s="141">
        <f t="shared" si="31"/>
        <v>0</v>
      </c>
      <c r="K87" s="151">
        <v>20</v>
      </c>
      <c r="L87" s="151">
        <v>6</v>
      </c>
      <c r="M87" s="141">
        <f t="shared" si="26"/>
        <v>0.3137254901960784</v>
      </c>
      <c r="N87" s="155">
        <v>0</v>
      </c>
      <c r="O87" s="155">
        <v>0</v>
      </c>
      <c r="P87" s="141">
        <f t="shared" si="32"/>
        <v>0</v>
      </c>
      <c r="Q87" s="151">
        <v>108</v>
      </c>
      <c r="R87" s="151">
        <v>32.4</v>
      </c>
      <c r="S87" s="141">
        <f t="shared" si="27"/>
        <v>0.5775401069518716</v>
      </c>
      <c r="T87" s="155">
        <v>0</v>
      </c>
      <c r="U87" s="155">
        <v>0</v>
      </c>
      <c r="V87" s="141">
        <f t="shared" si="28"/>
        <v>0</v>
      </c>
      <c r="W87" s="155">
        <v>0</v>
      </c>
      <c r="X87" s="155">
        <v>0</v>
      </c>
      <c r="Y87" s="141">
        <f t="shared" si="29"/>
        <v>0</v>
      </c>
      <c r="Z87" s="151">
        <v>8</v>
      </c>
      <c r="AA87" s="151">
        <v>0.8</v>
      </c>
      <c r="AB87" s="141">
        <f t="shared" si="30"/>
        <v>0.13793103448275862</v>
      </c>
      <c r="AC87" s="142">
        <v>139</v>
      </c>
      <c r="AD87" s="143">
        <v>39.35</v>
      </c>
      <c r="AE87" s="444">
        <v>0.3577272727272727</v>
      </c>
      <c r="AF87" s="528">
        <f t="shared" si="13"/>
        <v>0.4764285714285714</v>
      </c>
      <c r="AG87" s="526"/>
      <c r="AH87" s="526"/>
      <c r="AI87" s="532">
        <f t="shared" si="14"/>
        <v>0.4764285714285714</v>
      </c>
    </row>
    <row r="88" spans="1:35" ht="15.75">
      <c r="A88" s="615">
        <v>65</v>
      </c>
      <c r="B88" s="618">
        <v>11.375</v>
      </c>
      <c r="C88" s="619">
        <v>0.56875</v>
      </c>
      <c r="D88" s="616">
        <v>0.2585227272727273</v>
      </c>
      <c r="E88" s="620">
        <v>7.5</v>
      </c>
      <c r="F88" s="620">
        <v>0.1875</v>
      </c>
      <c r="G88" s="616">
        <v>0.23148148148148148</v>
      </c>
      <c r="H88" s="620">
        <v>0</v>
      </c>
      <c r="I88" s="620">
        <v>0</v>
      </c>
      <c r="J88" s="616">
        <v>0</v>
      </c>
      <c r="K88" s="620">
        <v>0</v>
      </c>
      <c r="L88" s="620">
        <v>0</v>
      </c>
      <c r="M88" s="616">
        <v>0</v>
      </c>
      <c r="N88" s="620">
        <v>0</v>
      </c>
      <c r="O88" s="620">
        <v>0</v>
      </c>
      <c r="P88" s="616">
        <v>0</v>
      </c>
      <c r="Q88" s="620">
        <v>0</v>
      </c>
      <c r="R88" s="620">
        <v>0</v>
      </c>
      <c r="S88" s="616">
        <v>0</v>
      </c>
      <c r="T88" s="620">
        <v>0</v>
      </c>
      <c r="U88" s="620">
        <v>0</v>
      </c>
      <c r="V88" s="616">
        <v>0</v>
      </c>
      <c r="W88" s="620">
        <v>0</v>
      </c>
      <c r="X88" s="620">
        <v>0</v>
      </c>
      <c r="Y88" s="616">
        <v>0</v>
      </c>
      <c r="Z88" s="620">
        <v>0</v>
      </c>
      <c r="AA88" s="620">
        <v>0</v>
      </c>
      <c r="AB88" s="617">
        <v>0</v>
      </c>
      <c r="AC88" s="143">
        <v>18.875</v>
      </c>
      <c r="AD88" s="143">
        <v>0.75625</v>
      </c>
      <c r="AE88" s="444">
        <v>0.006875</v>
      </c>
      <c r="AF88" s="528"/>
      <c r="AG88" s="526">
        <f>(AD88-(R88+U88+X88))/60</f>
        <v>0.012604166666666666</v>
      </c>
      <c r="AH88" s="526"/>
      <c r="AI88" s="532">
        <f t="shared" si="14"/>
        <v>0.012604166666666666</v>
      </c>
    </row>
    <row r="89" spans="1:35" s="682" customFormat="1" ht="12.75">
      <c r="A89" s="691">
        <v>84</v>
      </c>
      <c r="B89" s="682">
        <v>8</v>
      </c>
      <c r="C89" s="682">
        <v>0.4</v>
      </c>
      <c r="E89" s="682">
        <v>47</v>
      </c>
      <c r="F89" s="682">
        <v>1.175</v>
      </c>
      <c r="H89" s="682">
        <v>0</v>
      </c>
      <c r="I89" s="682">
        <v>0</v>
      </c>
      <c r="K89" s="682">
        <v>0</v>
      </c>
      <c r="L89" s="682">
        <v>0</v>
      </c>
      <c r="N89" s="682">
        <v>0</v>
      </c>
      <c r="O89" s="682">
        <v>0</v>
      </c>
      <c r="Q89" s="682">
        <v>0</v>
      </c>
      <c r="R89" s="682">
        <v>0</v>
      </c>
      <c r="T89" s="682">
        <v>0</v>
      </c>
      <c r="U89" s="682">
        <v>0</v>
      </c>
      <c r="W89" s="682">
        <v>0</v>
      </c>
      <c r="X89" s="682">
        <v>0</v>
      </c>
      <c r="Z89" s="682">
        <v>1</v>
      </c>
      <c r="AA89" s="682">
        <v>0.1</v>
      </c>
      <c r="AC89" s="682">
        <v>56</v>
      </c>
      <c r="AD89" s="682">
        <v>1.675</v>
      </c>
      <c r="AE89" s="690"/>
      <c r="AF89" s="528">
        <f t="shared" si="13"/>
        <v>0.023928571428571428</v>
      </c>
      <c r="AG89" s="526"/>
      <c r="AH89" s="526"/>
      <c r="AI89" s="532">
        <f t="shared" si="14"/>
        <v>0.023928571428571428</v>
      </c>
    </row>
    <row r="90" spans="1:34" ht="12.75">
      <c r="A90" s="52"/>
      <c r="AF90" s="156"/>
      <c r="AG90" s="156"/>
      <c r="AH90" s="524"/>
    </row>
    <row r="91" spans="1:34" ht="12.75">
      <c r="A91" s="52"/>
      <c r="AF91" s="156"/>
      <c r="AG91" s="156"/>
      <c r="AH91" s="524"/>
    </row>
    <row r="92" spans="1:34" ht="12.75">
      <c r="A92" s="52"/>
      <c r="AF92" s="156"/>
      <c r="AG92" s="156"/>
      <c r="AH92" s="524"/>
    </row>
    <row r="93" spans="1:34" ht="12.75">
      <c r="A93" s="52"/>
      <c r="AF93" s="156"/>
      <c r="AG93" s="156"/>
      <c r="AH93" s="524"/>
    </row>
    <row r="94" spans="1:34" ht="12.75">
      <c r="A94" s="52"/>
      <c r="AF94" s="156"/>
      <c r="AG94" s="156"/>
      <c r="AH94" s="524"/>
    </row>
    <row r="95" spans="1:34" ht="12.75">
      <c r="A95" s="52"/>
      <c r="AF95" s="156"/>
      <c r="AG95" s="156"/>
      <c r="AH95" s="524"/>
    </row>
    <row r="96" spans="1:34" ht="12.75">
      <c r="A96" s="52"/>
      <c r="AF96" s="156"/>
      <c r="AG96" s="156"/>
      <c r="AH96" s="524"/>
    </row>
    <row r="97" spans="1:34" ht="12.75">
      <c r="A97" s="52"/>
      <c r="AF97" s="156"/>
      <c r="AG97" s="156"/>
      <c r="AH97" s="524"/>
    </row>
    <row r="98" spans="1:34" ht="12.75">
      <c r="A98" s="52"/>
      <c r="AF98" s="156"/>
      <c r="AG98" s="156"/>
      <c r="AH98" s="524"/>
    </row>
    <row r="99" spans="1:34" ht="12.75">
      <c r="A99" s="52"/>
      <c r="AF99" s="156"/>
      <c r="AG99" s="156"/>
      <c r="AH99" s="524"/>
    </row>
    <row r="100" spans="1:34" ht="12.75">
      <c r="A100" s="52"/>
      <c r="AF100" s="156"/>
      <c r="AG100" s="156"/>
      <c r="AH100" s="524"/>
    </row>
    <row r="101" spans="1:34" ht="12.75">
      <c r="A101" s="52"/>
      <c r="AF101" s="156"/>
      <c r="AG101" s="156"/>
      <c r="AH101" s="524"/>
    </row>
    <row r="102" spans="1:34" ht="12.75">
      <c r="A102" s="52"/>
      <c r="AF102" s="156"/>
      <c r="AG102" s="156"/>
      <c r="AH102" s="524"/>
    </row>
    <row r="103" spans="1:34" ht="12.75">
      <c r="A103" s="52"/>
      <c r="AF103" s="156"/>
      <c r="AG103" s="156"/>
      <c r="AH103" s="524"/>
    </row>
    <row r="104" spans="1:34" ht="12.75">
      <c r="A104" s="52"/>
      <c r="AF104" s="156"/>
      <c r="AG104" s="156"/>
      <c r="AH104" s="524"/>
    </row>
    <row r="105" spans="1:34" ht="12.75">
      <c r="A105" s="52"/>
      <c r="AF105" s="156"/>
      <c r="AG105" s="156"/>
      <c r="AH105" s="524"/>
    </row>
    <row r="106" spans="1:34" ht="12.75">
      <c r="A106" s="50"/>
      <c r="AF106" s="156"/>
      <c r="AG106" s="156"/>
      <c r="AH106" s="524"/>
    </row>
    <row r="107" spans="1:34" ht="12.75">
      <c r="A107" s="50"/>
      <c r="AF107" s="156"/>
      <c r="AG107" s="156"/>
      <c r="AH107" s="524"/>
    </row>
    <row r="108" spans="1:34" ht="12.75">
      <c r="A108" s="50"/>
      <c r="AF108" s="156"/>
      <c r="AG108" s="156"/>
      <c r="AH108" s="524"/>
    </row>
    <row r="109" spans="1:34" ht="12.75">
      <c r="A109" s="50"/>
      <c r="AF109" s="156"/>
      <c r="AG109" s="156"/>
      <c r="AH109" s="524"/>
    </row>
    <row r="110" spans="1:34" ht="12.75">
      <c r="A110" s="50"/>
      <c r="AF110" s="156"/>
      <c r="AG110" s="156"/>
      <c r="AH110" s="524"/>
    </row>
    <row r="111" spans="1:34" ht="12.75">
      <c r="A111" s="50"/>
      <c r="AF111" s="156"/>
      <c r="AG111" s="156"/>
      <c r="AH111" s="524"/>
    </row>
    <row r="112" spans="1:34" ht="12.75">
      <c r="A112" s="50"/>
      <c r="AF112" s="156"/>
      <c r="AG112" s="156"/>
      <c r="AH112" s="524"/>
    </row>
    <row r="113" spans="1:34" ht="12.75">
      <c r="A113" s="50"/>
      <c r="AF113" s="156"/>
      <c r="AG113" s="156"/>
      <c r="AH113" s="524"/>
    </row>
    <row r="114" spans="1:34" ht="12.75">
      <c r="A114" s="50"/>
      <c r="AF114" s="156"/>
      <c r="AG114" s="156"/>
      <c r="AH114" s="524"/>
    </row>
    <row r="115" spans="1:34" ht="12.75">
      <c r="A115" s="50"/>
      <c r="AF115" s="156"/>
      <c r="AG115" s="156"/>
      <c r="AH115" s="524"/>
    </row>
    <row r="116" spans="1:34" ht="12.75">
      <c r="A116" s="50"/>
      <c r="AF116" s="156"/>
      <c r="AG116" s="156"/>
      <c r="AH116" s="524"/>
    </row>
    <row r="117" spans="1:34" ht="12.75">
      <c r="A117" s="50"/>
      <c r="AF117" s="156"/>
      <c r="AG117" s="156"/>
      <c r="AH117" s="524"/>
    </row>
    <row r="118" spans="1:34" ht="12.75">
      <c r="A118" s="50"/>
      <c r="AF118" s="156"/>
      <c r="AG118" s="156"/>
      <c r="AH118" s="524"/>
    </row>
    <row r="119" spans="1:34" ht="12.75">
      <c r="A119" s="50"/>
      <c r="AF119" s="156"/>
      <c r="AG119" s="156"/>
      <c r="AH119" s="524"/>
    </row>
    <row r="120" spans="1:34" ht="12.75">
      <c r="A120" s="50"/>
      <c r="AF120" s="156"/>
      <c r="AG120" s="156"/>
      <c r="AH120" s="524"/>
    </row>
    <row r="121" spans="1:34" ht="12.75">
      <c r="A121" s="50"/>
      <c r="AF121" s="156"/>
      <c r="AG121" s="156"/>
      <c r="AH121" s="524"/>
    </row>
    <row r="122" spans="1:34" ht="12.75">
      <c r="A122" s="50"/>
      <c r="AF122" s="156"/>
      <c r="AG122" s="156"/>
      <c r="AH122" s="524"/>
    </row>
    <row r="123" spans="1:34" ht="12.75">
      <c r="A123" s="50"/>
      <c r="AF123" s="156"/>
      <c r="AG123" s="156"/>
      <c r="AH123" s="524"/>
    </row>
    <row r="124" ht="12.75">
      <c r="A124" s="50"/>
    </row>
    <row r="125" ht="12.75">
      <c r="A125" s="50"/>
    </row>
    <row r="126" ht="12.75">
      <c r="A126" s="50"/>
    </row>
    <row r="127" ht="12.75">
      <c r="A127" s="50"/>
    </row>
    <row r="128" ht="12.75">
      <c r="A128" s="50"/>
    </row>
    <row r="129" ht="12.75">
      <c r="A129" s="50"/>
    </row>
    <row r="130" ht="12.75">
      <c r="A130" s="50"/>
    </row>
    <row r="131" ht="12.75">
      <c r="A131" s="50"/>
    </row>
    <row r="132" ht="12.75">
      <c r="A132" s="50"/>
    </row>
    <row r="133" ht="12.75">
      <c r="A133" s="50"/>
    </row>
    <row r="134" ht="12.75">
      <c r="A134" s="50"/>
    </row>
    <row r="135" ht="12.75">
      <c r="A135" s="50"/>
    </row>
    <row r="136" ht="12.75">
      <c r="A136" s="50"/>
    </row>
    <row r="137" ht="12.75">
      <c r="A137" s="50"/>
    </row>
    <row r="138" ht="12.75">
      <c r="A138" s="50"/>
    </row>
    <row r="139" ht="12.75">
      <c r="A139" s="50"/>
    </row>
    <row r="140" ht="12.75">
      <c r="A140" s="50"/>
    </row>
    <row r="141" ht="12.75">
      <c r="A141" s="50"/>
    </row>
    <row r="142" ht="12.75">
      <c r="A142" s="50"/>
    </row>
    <row r="143" ht="12.75">
      <c r="A143" s="50"/>
    </row>
    <row r="144" ht="12.75">
      <c r="A144" s="50"/>
    </row>
    <row r="145" ht="12.75">
      <c r="A145" s="50"/>
    </row>
    <row r="146" ht="12.75">
      <c r="A146" s="50"/>
    </row>
    <row r="147" ht="12.75">
      <c r="A147" s="50"/>
    </row>
    <row r="148" ht="12.75">
      <c r="A148" s="50"/>
    </row>
    <row r="149" ht="12.75">
      <c r="A149" s="50"/>
    </row>
    <row r="150" ht="12.75">
      <c r="A150" s="50"/>
    </row>
    <row r="151" ht="12.75">
      <c r="A151" s="50"/>
    </row>
    <row r="152" ht="12.75">
      <c r="A152" s="50"/>
    </row>
    <row r="153" ht="12.75">
      <c r="A153" s="50"/>
    </row>
    <row r="154" ht="12.75">
      <c r="A154" s="50"/>
    </row>
    <row r="155" ht="12.75">
      <c r="A155" s="50"/>
    </row>
    <row r="156" ht="12.75">
      <c r="A156" s="50"/>
    </row>
    <row r="157" ht="12.75">
      <c r="A157" s="50"/>
    </row>
    <row r="158" ht="12.75">
      <c r="A158" s="50"/>
    </row>
    <row r="159" ht="12.75">
      <c r="A159" s="50"/>
    </row>
    <row r="160" ht="12.75">
      <c r="A160" s="50"/>
    </row>
    <row r="161" ht="12.75">
      <c r="A161" s="50"/>
    </row>
    <row r="162" ht="12.75">
      <c r="A162" s="50"/>
    </row>
    <row r="163" ht="12.75">
      <c r="A163" s="50"/>
    </row>
    <row r="164" ht="12.75">
      <c r="A164" s="50"/>
    </row>
    <row r="165" ht="12.75">
      <c r="A165" s="50"/>
    </row>
    <row r="166" ht="12.75">
      <c r="A166" s="50"/>
    </row>
    <row r="167" ht="12.75">
      <c r="A167" s="50"/>
    </row>
    <row r="168" ht="12.75">
      <c r="A168" s="50"/>
    </row>
    <row r="169" ht="12.75">
      <c r="A169" s="50"/>
    </row>
    <row r="170" ht="12.75">
      <c r="A170" s="50"/>
    </row>
    <row r="171" ht="12.75">
      <c r="A171" s="50"/>
    </row>
    <row r="172" ht="12.75">
      <c r="A172" s="50"/>
    </row>
  </sheetData>
  <sheetProtection/>
  <mergeCells count="9">
    <mergeCell ref="T1:U1"/>
    <mergeCell ref="W1:X1"/>
    <mergeCell ref="Z1:AA1"/>
    <mergeCell ref="B1:C1"/>
    <mergeCell ref="E1:F1"/>
    <mergeCell ref="H1:I1"/>
    <mergeCell ref="K1:L1"/>
    <mergeCell ref="N1:O1"/>
    <mergeCell ref="Q1:R1"/>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Central Queensland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Rolfe</dc:creator>
  <cp:keywords/>
  <dc:description/>
  <cp:lastModifiedBy>dawsone</cp:lastModifiedBy>
  <cp:lastPrinted>2008-02-25T19:43:45Z</cp:lastPrinted>
  <dcterms:created xsi:type="dcterms:W3CDTF">2008-01-31T21:16:38Z</dcterms:created>
  <dcterms:modified xsi:type="dcterms:W3CDTF">2012-01-10T00:03:49Z</dcterms:modified>
  <cp:category/>
  <cp:version/>
  <cp:contentType/>
  <cp:contentStatus/>
</cp:coreProperties>
</file>